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28800" windowHeight="11835"/>
  </bookViews>
  <sheets>
    <sheet name="什器備品リスト" sheetId="4" r:id="rId1"/>
  </sheets>
  <definedNames>
    <definedName name="_xlnm._FilterDatabase" localSheetId="0" hidden="1">什器備品リスト!$A$9:$L$5872</definedName>
    <definedName name="_xlnm.Print_Area" localSheetId="0">什器備品リスト!$A$1:$L$5872</definedName>
    <definedName name="_xlnm.Print_Titles" localSheetId="0">什器備品リスト!$9:$9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5871" i="4" l="1"/>
  <c r="F5871" i="4"/>
  <c r="B5081" i="4"/>
  <c r="C5081" i="4"/>
  <c r="D5081" i="4"/>
  <c r="E5081" i="4"/>
  <c r="F5081" i="4"/>
  <c r="G5081" i="4"/>
  <c r="H5081" i="4"/>
  <c r="I5081" i="4"/>
  <c r="J5081" i="4"/>
  <c r="K5081" i="4"/>
  <c r="L5081" i="4"/>
  <c r="B4894" i="4"/>
  <c r="C4894" i="4"/>
  <c r="D4894" i="4"/>
  <c r="E4894" i="4"/>
  <c r="F4894" i="4"/>
  <c r="G4894" i="4"/>
  <c r="H4894" i="4"/>
  <c r="I4894" i="4"/>
  <c r="J4894" i="4"/>
  <c r="K4894" i="4"/>
  <c r="L4894" i="4"/>
  <c r="K5741" i="4" l="1"/>
  <c r="J5741" i="4"/>
  <c r="H5741" i="4"/>
  <c r="I5741" i="4" s="1"/>
  <c r="K5740" i="4"/>
  <c r="J5740" i="4"/>
  <c r="H5740" i="4"/>
  <c r="I5740" i="4" s="1"/>
  <c r="K5739" i="4"/>
  <c r="J5739" i="4"/>
  <c r="H5739" i="4"/>
  <c r="I5739" i="4" s="1"/>
  <c r="K5738" i="4"/>
  <c r="J5738" i="4"/>
  <c r="H5738" i="4"/>
  <c r="I5738" i="4" s="1"/>
  <c r="K5737" i="4"/>
  <c r="J5737" i="4"/>
  <c r="H5737" i="4"/>
  <c r="I5737" i="4" s="1"/>
  <c r="K5736" i="4"/>
  <c r="J5736" i="4"/>
  <c r="H5736" i="4"/>
  <c r="I5736" i="4" s="1"/>
  <c r="K5735" i="4"/>
  <c r="J5735" i="4"/>
  <c r="H5735" i="4"/>
  <c r="I5735" i="4" s="1"/>
  <c r="K5734" i="4"/>
  <c r="J5734" i="4"/>
  <c r="H5734" i="4"/>
  <c r="I5734" i="4" s="1"/>
  <c r="K5733" i="4"/>
  <c r="J5733" i="4"/>
  <c r="H5733" i="4"/>
  <c r="I5733" i="4" s="1"/>
  <c r="K5732" i="4"/>
  <c r="J5732" i="4"/>
  <c r="H5732" i="4"/>
  <c r="I5732" i="4" s="1"/>
  <c r="K5731" i="4"/>
  <c r="J5731" i="4"/>
  <c r="H5731" i="4"/>
  <c r="I5731" i="4" s="1"/>
  <c r="K5730" i="4"/>
  <c r="J5730" i="4"/>
  <c r="H5730" i="4"/>
  <c r="I5730" i="4" s="1"/>
  <c r="K5729" i="4"/>
  <c r="J5729" i="4"/>
  <c r="H5729" i="4"/>
  <c r="I5729" i="4" s="1"/>
  <c r="K5728" i="4"/>
  <c r="J5728" i="4"/>
  <c r="H5728" i="4"/>
  <c r="I5728" i="4" s="1"/>
  <c r="K5727" i="4"/>
  <c r="J5727" i="4"/>
  <c r="H5727" i="4"/>
  <c r="I5727" i="4" s="1"/>
  <c r="K5726" i="4"/>
  <c r="J5726" i="4"/>
  <c r="H5726" i="4"/>
  <c r="I5726" i="4" s="1"/>
  <c r="K5725" i="4"/>
  <c r="J5725" i="4"/>
  <c r="H5725" i="4"/>
  <c r="I5725" i="4" s="1"/>
  <c r="K5724" i="4"/>
  <c r="J5724" i="4"/>
  <c r="H5724" i="4"/>
  <c r="I5724" i="4" s="1"/>
  <c r="K5723" i="4"/>
  <c r="J5723" i="4"/>
  <c r="H5723" i="4"/>
  <c r="I5723" i="4" s="1"/>
  <c r="K5722" i="4"/>
  <c r="J5722" i="4"/>
  <c r="H5722" i="4"/>
  <c r="I5722" i="4" s="1"/>
  <c r="K5721" i="4"/>
  <c r="J5721" i="4"/>
  <c r="H5721" i="4"/>
  <c r="I5721" i="4" s="1"/>
  <c r="K5720" i="4"/>
  <c r="J5720" i="4"/>
  <c r="H5720" i="4"/>
  <c r="I5720" i="4" s="1"/>
  <c r="K5719" i="4"/>
  <c r="J5719" i="4"/>
  <c r="H5719" i="4"/>
  <c r="I5719" i="4" s="1"/>
  <c r="K5718" i="4"/>
  <c r="J5718" i="4"/>
  <c r="H5718" i="4"/>
  <c r="I5718" i="4" s="1"/>
  <c r="K5717" i="4"/>
  <c r="J5717" i="4"/>
  <c r="H5717" i="4"/>
  <c r="I5717" i="4" s="1"/>
  <c r="K5716" i="4"/>
  <c r="J5716" i="4"/>
  <c r="H5716" i="4"/>
  <c r="I5716" i="4" s="1"/>
  <c r="K5715" i="4"/>
  <c r="J5715" i="4"/>
  <c r="H5715" i="4"/>
  <c r="I5715" i="4" s="1"/>
  <c r="K5714" i="4"/>
  <c r="J5714" i="4"/>
  <c r="H5714" i="4"/>
  <c r="I5714" i="4" s="1"/>
  <c r="K5713" i="4"/>
  <c r="J5713" i="4"/>
  <c r="H5713" i="4"/>
  <c r="I5713" i="4" s="1"/>
  <c r="K5712" i="4"/>
  <c r="J5712" i="4"/>
  <c r="H5712" i="4"/>
  <c r="I5712" i="4" s="1"/>
  <c r="K5711" i="4"/>
  <c r="J5711" i="4"/>
  <c r="H5711" i="4"/>
  <c r="I5711" i="4" s="1"/>
  <c r="K5710" i="4"/>
  <c r="J5710" i="4"/>
  <c r="H5710" i="4"/>
  <c r="I5710" i="4" s="1"/>
  <c r="K5709" i="4"/>
  <c r="J5709" i="4"/>
  <c r="H5709" i="4"/>
  <c r="I5709" i="4" s="1"/>
  <c r="K5708" i="4"/>
  <c r="J5708" i="4"/>
  <c r="H5708" i="4"/>
  <c r="I5708" i="4" s="1"/>
  <c r="K5707" i="4"/>
  <c r="J5707" i="4"/>
  <c r="H5707" i="4"/>
  <c r="I5707" i="4" s="1"/>
  <c r="K5706" i="4"/>
  <c r="J5706" i="4"/>
  <c r="H5706" i="4"/>
  <c r="I5706" i="4" s="1"/>
  <c r="K5705" i="4"/>
  <c r="J5705" i="4"/>
  <c r="H5705" i="4"/>
  <c r="I5705" i="4" s="1"/>
  <c r="K5704" i="4"/>
  <c r="J5704" i="4"/>
  <c r="H5704" i="4"/>
  <c r="I5704" i="4" s="1"/>
  <c r="K5703" i="4"/>
  <c r="J5703" i="4"/>
  <c r="H5703" i="4"/>
  <c r="I5703" i="4" s="1"/>
  <c r="K5702" i="4"/>
  <c r="J5702" i="4"/>
  <c r="H5702" i="4"/>
  <c r="I5702" i="4" s="1"/>
  <c r="K5701" i="4"/>
  <c r="J5701" i="4"/>
  <c r="H5701" i="4"/>
  <c r="I5701" i="4" s="1"/>
  <c r="K5700" i="4"/>
  <c r="J5700" i="4"/>
  <c r="H5700" i="4"/>
  <c r="I5700" i="4" s="1"/>
  <c r="K5699" i="4"/>
  <c r="J5699" i="4"/>
  <c r="H5699" i="4"/>
  <c r="I5699" i="4" s="1"/>
  <c r="K5698" i="4"/>
  <c r="J5698" i="4"/>
  <c r="H5698" i="4"/>
  <c r="I5698" i="4" s="1"/>
  <c r="K5697" i="4"/>
  <c r="J5697" i="4"/>
  <c r="H5697" i="4"/>
  <c r="I5697" i="4" s="1"/>
  <c r="K5696" i="4"/>
  <c r="J5696" i="4"/>
  <c r="H5696" i="4"/>
  <c r="I5696" i="4" s="1"/>
  <c r="K5695" i="4"/>
  <c r="J5695" i="4"/>
  <c r="H5695" i="4"/>
  <c r="I5695" i="4" s="1"/>
  <c r="K5694" i="4"/>
  <c r="J5694" i="4"/>
  <c r="H5694" i="4"/>
  <c r="I5694" i="4" s="1"/>
  <c r="K5693" i="4"/>
  <c r="J5693" i="4"/>
  <c r="H5693" i="4"/>
  <c r="I5693" i="4" s="1"/>
  <c r="K5692" i="4"/>
  <c r="J5692" i="4"/>
  <c r="H5692" i="4"/>
  <c r="I5692" i="4" s="1"/>
  <c r="K5691" i="4"/>
  <c r="J5691" i="4"/>
  <c r="H5691" i="4"/>
  <c r="I5691" i="4" s="1"/>
  <c r="K5690" i="4"/>
  <c r="J5690" i="4"/>
  <c r="H5690" i="4"/>
  <c r="I5690" i="4" s="1"/>
  <c r="K5689" i="4"/>
  <c r="J5689" i="4"/>
  <c r="H5689" i="4"/>
  <c r="I5689" i="4" s="1"/>
  <c r="K5688" i="4"/>
  <c r="J5688" i="4"/>
  <c r="H5688" i="4"/>
  <c r="I5688" i="4" s="1"/>
  <c r="K5687" i="4"/>
  <c r="J5687" i="4"/>
  <c r="H5687" i="4"/>
  <c r="I5687" i="4" s="1"/>
  <c r="K5686" i="4"/>
  <c r="J5686" i="4"/>
  <c r="H5686" i="4"/>
  <c r="I5686" i="4" s="1"/>
  <c r="K5685" i="4"/>
  <c r="J5685" i="4"/>
  <c r="H5685" i="4"/>
  <c r="I5685" i="4" s="1"/>
  <c r="K5684" i="4"/>
  <c r="J5684" i="4"/>
  <c r="H5684" i="4"/>
  <c r="I5684" i="4" s="1"/>
  <c r="K5683" i="4"/>
  <c r="J5683" i="4"/>
  <c r="H5683" i="4"/>
  <c r="I5683" i="4" s="1"/>
  <c r="K5682" i="4"/>
  <c r="J5682" i="4"/>
  <c r="H5682" i="4"/>
  <c r="I5682" i="4" s="1"/>
  <c r="K5681" i="4"/>
  <c r="J5681" i="4"/>
  <c r="H5681" i="4"/>
  <c r="I5681" i="4" s="1"/>
  <c r="K5680" i="4"/>
  <c r="J5680" i="4"/>
  <c r="H5680" i="4"/>
  <c r="I5680" i="4" s="1"/>
  <c r="K5679" i="4"/>
  <c r="J5679" i="4"/>
  <c r="H5679" i="4"/>
  <c r="I5679" i="4" s="1"/>
  <c r="K5678" i="4"/>
  <c r="J5678" i="4"/>
  <c r="H5678" i="4"/>
  <c r="I5678" i="4" s="1"/>
  <c r="K5677" i="4"/>
  <c r="J5677" i="4"/>
  <c r="H5677" i="4"/>
  <c r="I5677" i="4" s="1"/>
  <c r="K5676" i="4"/>
  <c r="J5676" i="4"/>
  <c r="H5676" i="4"/>
  <c r="I5676" i="4" s="1"/>
  <c r="K5675" i="4"/>
  <c r="J5675" i="4"/>
  <c r="H5675" i="4"/>
  <c r="I5675" i="4" s="1"/>
  <c r="K5674" i="4"/>
  <c r="J5674" i="4"/>
  <c r="H5674" i="4"/>
  <c r="I5674" i="4" s="1"/>
  <c r="K5673" i="4"/>
  <c r="J5673" i="4"/>
  <c r="H5673" i="4"/>
  <c r="I5673" i="4" s="1"/>
  <c r="K5672" i="4"/>
  <c r="J5672" i="4"/>
  <c r="H5672" i="4"/>
  <c r="I5672" i="4" s="1"/>
  <c r="K5671" i="4"/>
  <c r="J5671" i="4"/>
  <c r="H5671" i="4"/>
  <c r="I5671" i="4" s="1"/>
  <c r="K5670" i="4"/>
  <c r="J5670" i="4"/>
  <c r="H5670" i="4"/>
  <c r="I5670" i="4" s="1"/>
  <c r="K5669" i="4"/>
  <c r="J5669" i="4"/>
  <c r="H5669" i="4"/>
  <c r="I5669" i="4" s="1"/>
  <c r="K5668" i="4"/>
  <c r="J5668" i="4"/>
  <c r="H5668" i="4"/>
  <c r="I5668" i="4" s="1"/>
  <c r="K5667" i="4"/>
  <c r="J5667" i="4"/>
  <c r="H5667" i="4"/>
  <c r="I5667" i="4" s="1"/>
  <c r="K5666" i="4"/>
  <c r="J5666" i="4"/>
  <c r="H5666" i="4"/>
  <c r="I5666" i="4" s="1"/>
  <c r="K5665" i="4"/>
  <c r="J5665" i="4"/>
  <c r="H5665" i="4"/>
  <c r="I5665" i="4" s="1"/>
  <c r="K5664" i="4"/>
  <c r="J5664" i="4"/>
  <c r="H5664" i="4"/>
  <c r="I5664" i="4" s="1"/>
  <c r="K5663" i="4"/>
  <c r="J5663" i="4"/>
  <c r="H5663" i="4"/>
  <c r="I5663" i="4" s="1"/>
  <c r="K5662" i="4"/>
  <c r="J5662" i="4"/>
  <c r="H5662" i="4"/>
  <c r="I5662" i="4" s="1"/>
  <c r="K5661" i="4"/>
  <c r="J5661" i="4"/>
  <c r="H5661" i="4"/>
  <c r="I5661" i="4" s="1"/>
  <c r="K5660" i="4"/>
  <c r="J5660" i="4"/>
  <c r="H5660" i="4"/>
  <c r="I5660" i="4" s="1"/>
  <c r="K5659" i="4"/>
  <c r="J5659" i="4"/>
  <c r="H5659" i="4"/>
  <c r="I5659" i="4" s="1"/>
  <c r="K5658" i="4"/>
  <c r="J5658" i="4"/>
  <c r="H5658" i="4"/>
  <c r="I5658" i="4" s="1"/>
  <c r="K5657" i="4"/>
  <c r="J5657" i="4"/>
  <c r="H5657" i="4"/>
  <c r="I5657" i="4" s="1"/>
  <c r="K5656" i="4"/>
  <c r="J5656" i="4"/>
  <c r="H5656" i="4"/>
  <c r="I5656" i="4" s="1"/>
  <c r="K5655" i="4"/>
  <c r="J5655" i="4"/>
  <c r="H5655" i="4"/>
  <c r="I5655" i="4" s="1"/>
  <c r="K5654" i="4"/>
  <c r="J5654" i="4"/>
  <c r="H5654" i="4"/>
  <c r="I5654" i="4" s="1"/>
  <c r="K5653" i="4"/>
  <c r="J5653" i="4"/>
  <c r="H5653" i="4"/>
  <c r="I5653" i="4" s="1"/>
  <c r="K5652" i="4"/>
  <c r="J5652" i="4"/>
  <c r="H5652" i="4"/>
  <c r="I5652" i="4" s="1"/>
  <c r="K5651" i="4"/>
  <c r="J5651" i="4"/>
  <c r="H5651" i="4"/>
  <c r="I5651" i="4" s="1"/>
  <c r="K5650" i="4"/>
  <c r="J5650" i="4"/>
  <c r="H5650" i="4"/>
  <c r="I5650" i="4" s="1"/>
  <c r="K5649" i="4"/>
  <c r="J5649" i="4"/>
  <c r="H5649" i="4"/>
  <c r="I5649" i="4" s="1"/>
  <c r="K5648" i="4"/>
  <c r="J5648" i="4"/>
  <c r="H5648" i="4"/>
  <c r="I5648" i="4" s="1"/>
  <c r="K5647" i="4"/>
  <c r="J5647" i="4"/>
  <c r="H5647" i="4"/>
  <c r="I5647" i="4" s="1"/>
  <c r="K5646" i="4"/>
  <c r="J5646" i="4"/>
  <c r="H5646" i="4"/>
  <c r="I5646" i="4" s="1"/>
  <c r="K5645" i="4"/>
  <c r="J5645" i="4"/>
  <c r="H5645" i="4"/>
  <c r="I5645" i="4" s="1"/>
  <c r="K5644" i="4"/>
  <c r="J5644" i="4"/>
  <c r="H5644" i="4"/>
  <c r="I5644" i="4" s="1"/>
  <c r="K5643" i="4"/>
  <c r="J5643" i="4"/>
  <c r="H5643" i="4"/>
  <c r="I5643" i="4" s="1"/>
  <c r="K5642" i="4"/>
  <c r="J5642" i="4"/>
  <c r="H5642" i="4"/>
  <c r="I5642" i="4" s="1"/>
  <c r="K5641" i="4"/>
  <c r="J5641" i="4"/>
  <c r="H5641" i="4"/>
  <c r="I5641" i="4" s="1"/>
  <c r="K5640" i="4"/>
  <c r="J5640" i="4"/>
  <c r="H5640" i="4"/>
  <c r="I5640" i="4" s="1"/>
  <c r="K5639" i="4"/>
  <c r="J5639" i="4"/>
  <c r="H5639" i="4"/>
  <c r="I5639" i="4" s="1"/>
  <c r="K5638" i="4"/>
  <c r="J5638" i="4"/>
  <c r="H5638" i="4"/>
  <c r="I5638" i="4" s="1"/>
  <c r="K5637" i="4"/>
  <c r="J5637" i="4"/>
  <c r="H5637" i="4"/>
  <c r="I5637" i="4" s="1"/>
  <c r="K5636" i="4"/>
  <c r="J5636" i="4"/>
  <c r="H5636" i="4"/>
  <c r="I5636" i="4" s="1"/>
  <c r="K5635" i="4"/>
  <c r="J5635" i="4"/>
  <c r="H5635" i="4"/>
  <c r="I5635" i="4" s="1"/>
  <c r="K5634" i="4"/>
  <c r="J5634" i="4"/>
  <c r="H5634" i="4"/>
  <c r="I5634" i="4" s="1"/>
  <c r="K5633" i="4"/>
  <c r="J5633" i="4"/>
  <c r="H5633" i="4"/>
  <c r="I5633" i="4" s="1"/>
  <c r="K5632" i="4"/>
  <c r="J5632" i="4"/>
  <c r="H5632" i="4"/>
  <c r="I5632" i="4" s="1"/>
  <c r="K5631" i="4"/>
  <c r="J5631" i="4"/>
  <c r="H5631" i="4"/>
  <c r="I5631" i="4" s="1"/>
  <c r="K5630" i="4"/>
  <c r="J5630" i="4"/>
  <c r="H5630" i="4"/>
  <c r="I5630" i="4" s="1"/>
  <c r="K5629" i="4"/>
  <c r="J5629" i="4"/>
  <c r="H5629" i="4"/>
  <c r="I5629" i="4" s="1"/>
  <c r="K5628" i="4"/>
  <c r="J5628" i="4"/>
  <c r="H5628" i="4"/>
  <c r="I5628" i="4" s="1"/>
  <c r="K5627" i="4"/>
  <c r="J5627" i="4"/>
  <c r="H5627" i="4"/>
  <c r="I5627" i="4" s="1"/>
  <c r="K5626" i="4"/>
  <c r="J5626" i="4"/>
  <c r="H5626" i="4"/>
  <c r="I5626" i="4" s="1"/>
  <c r="K5625" i="4"/>
  <c r="J5625" i="4"/>
  <c r="H5625" i="4"/>
  <c r="I5625" i="4" s="1"/>
  <c r="K5624" i="4"/>
  <c r="J5624" i="4"/>
  <c r="H5624" i="4"/>
  <c r="I5624" i="4" s="1"/>
  <c r="K5623" i="4"/>
  <c r="J5623" i="4"/>
  <c r="H5623" i="4"/>
  <c r="I5623" i="4" s="1"/>
  <c r="K5622" i="4"/>
  <c r="J5622" i="4"/>
  <c r="H5622" i="4"/>
  <c r="I5622" i="4" s="1"/>
  <c r="K5621" i="4"/>
  <c r="J5621" i="4"/>
  <c r="H5621" i="4"/>
  <c r="I5621" i="4" s="1"/>
  <c r="K5620" i="4"/>
  <c r="J5620" i="4"/>
  <c r="H5620" i="4"/>
  <c r="I5620" i="4" s="1"/>
  <c r="K5619" i="4"/>
  <c r="J5619" i="4"/>
  <c r="H5619" i="4"/>
  <c r="I5619" i="4" s="1"/>
  <c r="K5618" i="4"/>
  <c r="J5618" i="4"/>
  <c r="H5618" i="4"/>
  <c r="I5618" i="4" s="1"/>
  <c r="K5617" i="4"/>
  <c r="J5617" i="4"/>
  <c r="H5617" i="4"/>
  <c r="I5617" i="4" s="1"/>
  <c r="K5616" i="4"/>
  <c r="J5616" i="4"/>
  <c r="H5616" i="4"/>
  <c r="I5616" i="4" s="1"/>
  <c r="K5615" i="4"/>
  <c r="J5615" i="4"/>
  <c r="H5615" i="4"/>
  <c r="I5615" i="4" s="1"/>
  <c r="K5614" i="4"/>
  <c r="J5614" i="4"/>
  <c r="H5614" i="4"/>
  <c r="I5614" i="4" s="1"/>
  <c r="K5613" i="4"/>
  <c r="J5613" i="4"/>
  <c r="H5613" i="4"/>
  <c r="I5613" i="4" s="1"/>
  <c r="K5612" i="4"/>
  <c r="J5612" i="4"/>
  <c r="H5612" i="4"/>
  <c r="I5612" i="4" s="1"/>
  <c r="K5611" i="4"/>
  <c r="J5611" i="4"/>
  <c r="H5611" i="4"/>
  <c r="I5611" i="4" s="1"/>
  <c r="K5610" i="4"/>
  <c r="J5610" i="4"/>
  <c r="H5610" i="4"/>
  <c r="I5610" i="4" s="1"/>
  <c r="K5609" i="4"/>
  <c r="J5609" i="4"/>
  <c r="H5609" i="4"/>
  <c r="I5609" i="4" s="1"/>
  <c r="K5608" i="4"/>
  <c r="J5608" i="4"/>
  <c r="H5608" i="4"/>
  <c r="I5608" i="4" s="1"/>
  <c r="K5607" i="4"/>
  <c r="J5607" i="4"/>
  <c r="H5607" i="4"/>
  <c r="I5607" i="4" s="1"/>
  <c r="K5606" i="4"/>
  <c r="J5606" i="4"/>
  <c r="H5606" i="4"/>
  <c r="I5606" i="4" s="1"/>
  <c r="K5605" i="4"/>
  <c r="J5605" i="4"/>
  <c r="H5605" i="4"/>
  <c r="I5605" i="4" s="1"/>
  <c r="K5604" i="4"/>
  <c r="J5604" i="4"/>
  <c r="H5604" i="4"/>
  <c r="I5604" i="4" s="1"/>
  <c r="K5603" i="4"/>
  <c r="J5603" i="4"/>
  <c r="H5603" i="4"/>
  <c r="I5603" i="4" s="1"/>
  <c r="K5602" i="4"/>
  <c r="J5602" i="4"/>
  <c r="H5602" i="4"/>
  <c r="I5602" i="4" s="1"/>
  <c r="K5601" i="4"/>
  <c r="J5601" i="4"/>
  <c r="H5601" i="4"/>
  <c r="I5601" i="4" s="1"/>
  <c r="K5600" i="4"/>
  <c r="J5600" i="4"/>
  <c r="H5600" i="4"/>
  <c r="I5600" i="4" s="1"/>
  <c r="K5599" i="4"/>
  <c r="J5599" i="4"/>
  <c r="H5599" i="4"/>
  <c r="I5599" i="4" s="1"/>
  <c r="K5598" i="4"/>
  <c r="J5598" i="4"/>
  <c r="H5598" i="4"/>
  <c r="I5598" i="4" s="1"/>
  <c r="K5597" i="4"/>
  <c r="J5597" i="4"/>
  <c r="H5597" i="4"/>
  <c r="I5597" i="4" s="1"/>
  <c r="K5596" i="4"/>
  <c r="J5596" i="4"/>
  <c r="H5596" i="4"/>
  <c r="I5596" i="4" s="1"/>
  <c r="K5595" i="4"/>
  <c r="J5595" i="4"/>
  <c r="H5595" i="4"/>
  <c r="I5595" i="4" s="1"/>
  <c r="K5594" i="4"/>
  <c r="J5594" i="4"/>
  <c r="H5594" i="4"/>
  <c r="I5594" i="4" s="1"/>
  <c r="K5593" i="4"/>
  <c r="J5593" i="4"/>
  <c r="H5593" i="4"/>
  <c r="I5593" i="4" s="1"/>
  <c r="K5592" i="4"/>
  <c r="J5592" i="4"/>
  <c r="H5592" i="4"/>
  <c r="I5592" i="4" s="1"/>
  <c r="K5591" i="4"/>
  <c r="J5591" i="4"/>
  <c r="H5591" i="4"/>
  <c r="I5591" i="4" s="1"/>
  <c r="K5590" i="4"/>
  <c r="J5590" i="4"/>
  <c r="H5590" i="4"/>
  <c r="I5590" i="4" s="1"/>
  <c r="K5589" i="4"/>
  <c r="J5589" i="4"/>
  <c r="H5589" i="4"/>
  <c r="I5589" i="4" s="1"/>
  <c r="K5588" i="4"/>
  <c r="J5588" i="4"/>
  <c r="H5588" i="4"/>
  <c r="I5588" i="4" s="1"/>
  <c r="K5587" i="4"/>
  <c r="J5587" i="4"/>
  <c r="H5587" i="4"/>
  <c r="I5587" i="4" s="1"/>
  <c r="K5586" i="4"/>
  <c r="J5586" i="4"/>
  <c r="H5586" i="4"/>
  <c r="I5586" i="4" s="1"/>
  <c r="K5585" i="4"/>
  <c r="J5585" i="4"/>
  <c r="H5585" i="4"/>
  <c r="I5585" i="4" s="1"/>
  <c r="K5584" i="4"/>
  <c r="J5584" i="4"/>
  <c r="H5584" i="4"/>
  <c r="I5584" i="4" s="1"/>
  <c r="K5583" i="4"/>
  <c r="J5583" i="4"/>
  <c r="H5583" i="4"/>
  <c r="I5583" i="4" s="1"/>
  <c r="K5582" i="4"/>
  <c r="J5582" i="4"/>
  <c r="H5582" i="4"/>
  <c r="I5582" i="4" s="1"/>
  <c r="K5581" i="4"/>
  <c r="J5581" i="4"/>
  <c r="H5581" i="4"/>
  <c r="I5581" i="4" s="1"/>
  <c r="K5580" i="4"/>
  <c r="J5580" i="4"/>
  <c r="H5580" i="4"/>
  <c r="I5580" i="4" s="1"/>
  <c r="K5579" i="4"/>
  <c r="J5579" i="4"/>
  <c r="H5579" i="4"/>
  <c r="I5579" i="4" s="1"/>
  <c r="K5578" i="4"/>
  <c r="J5578" i="4"/>
  <c r="H5578" i="4"/>
  <c r="I5578" i="4" s="1"/>
  <c r="K5577" i="4"/>
  <c r="J5577" i="4"/>
  <c r="H5577" i="4"/>
  <c r="I5577" i="4" s="1"/>
  <c r="K5576" i="4"/>
  <c r="J5576" i="4"/>
  <c r="H5576" i="4"/>
  <c r="I5576" i="4" s="1"/>
  <c r="K5575" i="4"/>
  <c r="J5575" i="4"/>
  <c r="H5575" i="4"/>
  <c r="I5575" i="4" s="1"/>
  <c r="K5574" i="4"/>
  <c r="J5574" i="4"/>
  <c r="H5574" i="4"/>
  <c r="I5574" i="4" s="1"/>
  <c r="K5573" i="4"/>
  <c r="J5573" i="4"/>
  <c r="H5573" i="4"/>
  <c r="I5573" i="4" s="1"/>
  <c r="K5572" i="4"/>
  <c r="J5572" i="4"/>
  <c r="H5572" i="4"/>
  <c r="I5572" i="4" s="1"/>
  <c r="K5571" i="4"/>
  <c r="J5571" i="4"/>
  <c r="H5571" i="4"/>
  <c r="I5571" i="4" s="1"/>
  <c r="K5570" i="4"/>
  <c r="J5570" i="4"/>
  <c r="H5570" i="4"/>
  <c r="I5570" i="4" s="1"/>
  <c r="K5569" i="4"/>
  <c r="J5569" i="4"/>
  <c r="H5569" i="4"/>
  <c r="I5569" i="4" s="1"/>
  <c r="K5568" i="4"/>
  <c r="J5568" i="4"/>
  <c r="H5568" i="4"/>
  <c r="I5568" i="4" s="1"/>
  <c r="K5567" i="4"/>
  <c r="J5567" i="4"/>
  <c r="H5567" i="4"/>
  <c r="I5567" i="4" s="1"/>
  <c r="K5566" i="4"/>
  <c r="J5566" i="4"/>
  <c r="H5566" i="4"/>
  <c r="I5566" i="4" s="1"/>
  <c r="K5565" i="4"/>
  <c r="J5565" i="4"/>
  <c r="H5565" i="4"/>
  <c r="I5565" i="4" s="1"/>
  <c r="K5564" i="4"/>
  <c r="J5564" i="4"/>
  <c r="H5564" i="4"/>
  <c r="I5564" i="4" s="1"/>
  <c r="K5563" i="4"/>
  <c r="J5563" i="4"/>
  <c r="H5563" i="4"/>
  <c r="I5563" i="4" s="1"/>
  <c r="K5562" i="4"/>
  <c r="J5562" i="4"/>
  <c r="H5562" i="4"/>
  <c r="I5562" i="4" s="1"/>
  <c r="K5561" i="4"/>
  <c r="J5561" i="4"/>
  <c r="H5561" i="4"/>
  <c r="I5561" i="4" s="1"/>
  <c r="K5560" i="4"/>
  <c r="J5560" i="4"/>
  <c r="H5560" i="4"/>
  <c r="I5560" i="4" s="1"/>
  <c r="K5559" i="4"/>
  <c r="J5559" i="4"/>
  <c r="H5559" i="4"/>
  <c r="I5559" i="4" s="1"/>
  <c r="K5558" i="4"/>
  <c r="J5558" i="4"/>
  <c r="H5558" i="4"/>
  <c r="I5558" i="4" s="1"/>
  <c r="K5557" i="4"/>
  <c r="J5557" i="4"/>
  <c r="H5557" i="4"/>
  <c r="I5557" i="4" s="1"/>
  <c r="K5556" i="4"/>
  <c r="J5556" i="4"/>
  <c r="H5556" i="4"/>
  <c r="I5556" i="4" s="1"/>
  <c r="K5555" i="4"/>
  <c r="J5555" i="4"/>
  <c r="H5555" i="4"/>
  <c r="I5555" i="4" s="1"/>
  <c r="K5554" i="4"/>
  <c r="J5554" i="4"/>
  <c r="H5554" i="4"/>
  <c r="I5554" i="4" s="1"/>
  <c r="K5553" i="4"/>
  <c r="J5553" i="4"/>
  <c r="H5553" i="4"/>
  <c r="I5553" i="4" s="1"/>
  <c r="K5552" i="4"/>
  <c r="J5552" i="4"/>
  <c r="H5552" i="4"/>
  <c r="I5552" i="4" s="1"/>
  <c r="K5551" i="4"/>
  <c r="J5551" i="4"/>
  <c r="H5551" i="4"/>
  <c r="I5551" i="4" s="1"/>
  <c r="K5550" i="4"/>
  <c r="J5550" i="4"/>
  <c r="H5550" i="4"/>
  <c r="I5550" i="4" s="1"/>
  <c r="K5549" i="4"/>
  <c r="J5549" i="4"/>
  <c r="H5549" i="4"/>
  <c r="I5549" i="4" s="1"/>
  <c r="K5548" i="4"/>
  <c r="J5548" i="4"/>
  <c r="H5548" i="4"/>
  <c r="I5548" i="4" s="1"/>
  <c r="K5547" i="4"/>
  <c r="J5547" i="4"/>
  <c r="H5547" i="4"/>
  <c r="I5547" i="4" s="1"/>
  <c r="K5546" i="4"/>
  <c r="J5546" i="4"/>
  <c r="H5546" i="4"/>
  <c r="I5546" i="4" s="1"/>
  <c r="K5545" i="4"/>
  <c r="J5545" i="4"/>
  <c r="H5545" i="4"/>
  <c r="I5545" i="4" s="1"/>
  <c r="K5544" i="4"/>
  <c r="J5544" i="4"/>
  <c r="H5544" i="4"/>
  <c r="I5544" i="4" s="1"/>
  <c r="K5543" i="4"/>
  <c r="J5543" i="4"/>
  <c r="H5543" i="4"/>
  <c r="I5543" i="4" s="1"/>
  <c r="K5542" i="4"/>
  <c r="J5542" i="4"/>
  <c r="H5542" i="4"/>
  <c r="I5542" i="4" s="1"/>
  <c r="K5541" i="4"/>
  <c r="J5541" i="4"/>
  <c r="H5541" i="4"/>
  <c r="I5541" i="4" s="1"/>
  <c r="K5540" i="4"/>
  <c r="J5540" i="4"/>
  <c r="H5540" i="4"/>
  <c r="I5540" i="4" s="1"/>
  <c r="K5539" i="4"/>
  <c r="J5539" i="4"/>
  <c r="H5539" i="4"/>
  <c r="I5539" i="4" s="1"/>
  <c r="K5538" i="4"/>
  <c r="J5538" i="4"/>
  <c r="H5538" i="4"/>
  <c r="I5538" i="4" s="1"/>
  <c r="K5537" i="4"/>
  <c r="J5537" i="4"/>
  <c r="H5537" i="4"/>
  <c r="I5537" i="4" s="1"/>
  <c r="K5536" i="4"/>
  <c r="J5536" i="4"/>
  <c r="H5536" i="4"/>
  <c r="I5536" i="4" s="1"/>
  <c r="K5535" i="4"/>
  <c r="J5535" i="4"/>
  <c r="H5535" i="4"/>
  <c r="I5535" i="4" s="1"/>
  <c r="K5534" i="4"/>
  <c r="J5534" i="4"/>
  <c r="H5534" i="4"/>
  <c r="I5534" i="4" s="1"/>
  <c r="K5533" i="4"/>
  <c r="J5533" i="4"/>
  <c r="H5533" i="4"/>
  <c r="I5533" i="4" s="1"/>
  <c r="K5532" i="4"/>
  <c r="J5532" i="4"/>
  <c r="H5532" i="4"/>
  <c r="I5532" i="4" s="1"/>
  <c r="K5531" i="4"/>
  <c r="J5531" i="4"/>
  <c r="H5531" i="4"/>
  <c r="I5531" i="4" s="1"/>
  <c r="K5530" i="4"/>
  <c r="J5530" i="4"/>
  <c r="H5530" i="4"/>
  <c r="I5530" i="4" s="1"/>
  <c r="K5529" i="4"/>
  <c r="J5529" i="4"/>
  <c r="H5529" i="4"/>
  <c r="I5529" i="4" s="1"/>
  <c r="K5528" i="4"/>
  <c r="J5528" i="4"/>
  <c r="H5528" i="4"/>
  <c r="I5528" i="4" s="1"/>
  <c r="K5527" i="4"/>
  <c r="J5527" i="4"/>
  <c r="H5527" i="4"/>
  <c r="I5527" i="4" s="1"/>
  <c r="K5526" i="4"/>
  <c r="J5526" i="4"/>
  <c r="H5526" i="4"/>
  <c r="I5526" i="4" s="1"/>
  <c r="K5525" i="4"/>
  <c r="J5525" i="4"/>
  <c r="H5525" i="4"/>
  <c r="I5525" i="4" s="1"/>
  <c r="K5524" i="4"/>
  <c r="J5524" i="4"/>
  <c r="H5524" i="4"/>
  <c r="I5524" i="4" s="1"/>
  <c r="K5523" i="4"/>
  <c r="J5523" i="4"/>
  <c r="H5523" i="4"/>
  <c r="I5523" i="4" s="1"/>
  <c r="K5522" i="4"/>
  <c r="J5522" i="4"/>
  <c r="H5522" i="4"/>
  <c r="I5522" i="4" s="1"/>
  <c r="K5521" i="4"/>
  <c r="J5521" i="4"/>
  <c r="H5521" i="4"/>
  <c r="I5521" i="4" s="1"/>
  <c r="K5520" i="4"/>
  <c r="J5520" i="4"/>
  <c r="H5520" i="4"/>
  <c r="I5520" i="4" s="1"/>
  <c r="K5519" i="4"/>
  <c r="J5519" i="4"/>
  <c r="H5519" i="4"/>
  <c r="I5519" i="4" s="1"/>
  <c r="K5518" i="4"/>
  <c r="J5518" i="4"/>
  <c r="H5518" i="4"/>
  <c r="I5518" i="4" s="1"/>
  <c r="K5517" i="4"/>
  <c r="J5517" i="4"/>
  <c r="H5517" i="4"/>
  <c r="I5517" i="4" s="1"/>
  <c r="K5516" i="4"/>
  <c r="J5516" i="4"/>
  <c r="H5516" i="4"/>
  <c r="I5516" i="4" s="1"/>
  <c r="K5515" i="4"/>
  <c r="J5515" i="4"/>
  <c r="H5515" i="4"/>
  <c r="I5515" i="4" s="1"/>
  <c r="K5514" i="4"/>
  <c r="J5514" i="4"/>
  <c r="H5514" i="4"/>
  <c r="I5514" i="4" s="1"/>
  <c r="K5513" i="4"/>
  <c r="J5513" i="4"/>
  <c r="H5513" i="4"/>
  <c r="I5513" i="4" s="1"/>
  <c r="K5512" i="4"/>
  <c r="J5512" i="4"/>
  <c r="H5512" i="4"/>
  <c r="I5512" i="4" s="1"/>
  <c r="K5511" i="4"/>
  <c r="J5511" i="4"/>
  <c r="H5511" i="4"/>
  <c r="I5511" i="4" s="1"/>
  <c r="K5510" i="4"/>
  <c r="J5510" i="4"/>
  <c r="H5510" i="4"/>
  <c r="I5510" i="4" s="1"/>
  <c r="K5509" i="4"/>
  <c r="J5509" i="4"/>
  <c r="H5509" i="4"/>
  <c r="I5509" i="4" s="1"/>
  <c r="K5508" i="4"/>
  <c r="J5508" i="4"/>
  <c r="H5508" i="4"/>
  <c r="I5508" i="4" s="1"/>
  <c r="K5507" i="4"/>
  <c r="J5507" i="4"/>
  <c r="H5507" i="4"/>
  <c r="I5507" i="4" s="1"/>
  <c r="K5506" i="4"/>
  <c r="J5506" i="4"/>
  <c r="H5506" i="4"/>
  <c r="I5506" i="4" s="1"/>
  <c r="K5505" i="4"/>
  <c r="J5505" i="4"/>
  <c r="H5505" i="4"/>
  <c r="I5505" i="4" s="1"/>
  <c r="K5504" i="4"/>
  <c r="J5504" i="4"/>
  <c r="H5504" i="4"/>
  <c r="I5504" i="4" s="1"/>
  <c r="K5503" i="4"/>
  <c r="J5503" i="4"/>
  <c r="H5503" i="4"/>
  <c r="I5503" i="4" s="1"/>
  <c r="K5502" i="4"/>
  <c r="J5502" i="4"/>
  <c r="H5502" i="4"/>
  <c r="I5502" i="4" s="1"/>
  <c r="K5501" i="4"/>
  <c r="J5501" i="4"/>
  <c r="H5501" i="4"/>
  <c r="I5501" i="4" s="1"/>
  <c r="K5500" i="4"/>
  <c r="J5500" i="4"/>
  <c r="H5500" i="4"/>
  <c r="I5500" i="4" s="1"/>
  <c r="K5499" i="4"/>
  <c r="J5499" i="4"/>
  <c r="H5499" i="4"/>
  <c r="I5499" i="4" s="1"/>
  <c r="K5498" i="4"/>
  <c r="J5498" i="4"/>
  <c r="H5498" i="4"/>
  <c r="I5498" i="4" s="1"/>
  <c r="K5497" i="4"/>
  <c r="J5497" i="4"/>
  <c r="H5497" i="4"/>
  <c r="I5497" i="4" s="1"/>
  <c r="K5496" i="4"/>
  <c r="J5496" i="4"/>
  <c r="H5496" i="4"/>
  <c r="I5496" i="4" s="1"/>
  <c r="K5495" i="4"/>
  <c r="J5495" i="4"/>
  <c r="H5495" i="4"/>
  <c r="I5495" i="4" s="1"/>
  <c r="K5494" i="4"/>
  <c r="J5494" i="4"/>
  <c r="H5494" i="4"/>
  <c r="I5494" i="4" s="1"/>
  <c r="K5493" i="4"/>
  <c r="J5493" i="4"/>
  <c r="H5493" i="4"/>
  <c r="I5493" i="4" s="1"/>
  <c r="K5492" i="4"/>
  <c r="J5492" i="4"/>
  <c r="H5492" i="4"/>
  <c r="I5492" i="4" s="1"/>
  <c r="K5491" i="4"/>
  <c r="J5491" i="4"/>
  <c r="H5491" i="4"/>
  <c r="I5491" i="4" s="1"/>
  <c r="K5490" i="4"/>
  <c r="J5490" i="4"/>
  <c r="H5490" i="4"/>
  <c r="I5490" i="4" s="1"/>
  <c r="K5489" i="4"/>
  <c r="J5489" i="4"/>
  <c r="H5489" i="4"/>
  <c r="I5489" i="4" s="1"/>
  <c r="K5488" i="4"/>
  <c r="J5488" i="4"/>
  <c r="H5488" i="4"/>
  <c r="I5488" i="4" s="1"/>
  <c r="K5487" i="4"/>
  <c r="J5487" i="4"/>
  <c r="H5487" i="4"/>
  <c r="I5487" i="4" s="1"/>
  <c r="K5486" i="4"/>
  <c r="J5486" i="4"/>
  <c r="H5486" i="4"/>
  <c r="I5486" i="4" s="1"/>
  <c r="K5485" i="4"/>
  <c r="J5485" i="4"/>
  <c r="H5485" i="4"/>
  <c r="I5485" i="4" s="1"/>
  <c r="K5484" i="4"/>
  <c r="J5484" i="4"/>
  <c r="H5484" i="4"/>
  <c r="I5484" i="4" s="1"/>
  <c r="K5483" i="4"/>
  <c r="J5483" i="4"/>
  <c r="H5483" i="4"/>
  <c r="I5483" i="4" s="1"/>
  <c r="K5482" i="4"/>
  <c r="J5482" i="4"/>
  <c r="H5482" i="4"/>
  <c r="I5482" i="4" s="1"/>
  <c r="K5481" i="4"/>
  <c r="J5481" i="4"/>
  <c r="H5481" i="4"/>
  <c r="I5481" i="4" s="1"/>
  <c r="K5480" i="4"/>
  <c r="J5480" i="4"/>
  <c r="H5480" i="4"/>
  <c r="I5480" i="4" s="1"/>
  <c r="K5479" i="4"/>
  <c r="J5479" i="4"/>
  <c r="H5479" i="4"/>
  <c r="I5479" i="4" s="1"/>
  <c r="K5478" i="4"/>
  <c r="J5478" i="4"/>
  <c r="H5478" i="4"/>
  <c r="I5478" i="4" s="1"/>
  <c r="K5477" i="4"/>
  <c r="J5477" i="4"/>
  <c r="H5477" i="4"/>
  <c r="I5477" i="4" s="1"/>
  <c r="K5476" i="4"/>
  <c r="J5476" i="4"/>
  <c r="H5476" i="4"/>
  <c r="I5476" i="4" s="1"/>
  <c r="K5475" i="4"/>
  <c r="J5475" i="4"/>
  <c r="H5475" i="4"/>
  <c r="I5475" i="4" s="1"/>
  <c r="K5474" i="4"/>
  <c r="J5474" i="4"/>
  <c r="H5474" i="4"/>
  <c r="I5474" i="4" s="1"/>
  <c r="K5473" i="4"/>
  <c r="J5473" i="4"/>
  <c r="H5473" i="4"/>
  <c r="I5473" i="4" s="1"/>
  <c r="K5472" i="4"/>
  <c r="J5472" i="4"/>
  <c r="H5472" i="4"/>
  <c r="I5472" i="4" s="1"/>
  <c r="K5471" i="4"/>
  <c r="J5471" i="4"/>
  <c r="H5471" i="4"/>
  <c r="I5471" i="4" s="1"/>
  <c r="K5470" i="4"/>
  <c r="J5470" i="4"/>
  <c r="H5470" i="4"/>
  <c r="I5470" i="4" s="1"/>
  <c r="K5469" i="4"/>
  <c r="J5469" i="4"/>
  <c r="H5469" i="4"/>
  <c r="I5469" i="4" s="1"/>
  <c r="K5468" i="4"/>
  <c r="J5468" i="4"/>
  <c r="H5468" i="4"/>
  <c r="I5468" i="4" s="1"/>
  <c r="K5467" i="4"/>
  <c r="J5467" i="4"/>
  <c r="H5467" i="4"/>
  <c r="I5467" i="4" s="1"/>
  <c r="K5466" i="4"/>
  <c r="J5466" i="4"/>
  <c r="H5466" i="4"/>
  <c r="I5466" i="4" s="1"/>
  <c r="K5465" i="4"/>
  <c r="J5465" i="4"/>
  <c r="H5465" i="4"/>
  <c r="I5465" i="4" s="1"/>
  <c r="K5464" i="4"/>
  <c r="J5464" i="4"/>
  <c r="H5464" i="4"/>
  <c r="I5464" i="4" s="1"/>
  <c r="K5463" i="4"/>
  <c r="J5463" i="4"/>
  <c r="H5463" i="4"/>
  <c r="I5463" i="4" s="1"/>
  <c r="K5462" i="4"/>
  <c r="J5462" i="4"/>
  <c r="H5462" i="4"/>
  <c r="I5462" i="4" s="1"/>
  <c r="K5461" i="4"/>
  <c r="J5461" i="4"/>
  <c r="H5461" i="4"/>
  <c r="I5461" i="4" s="1"/>
  <c r="K5460" i="4"/>
  <c r="J5460" i="4"/>
  <c r="H5460" i="4"/>
  <c r="I5460" i="4" s="1"/>
  <c r="K5459" i="4"/>
  <c r="J5459" i="4"/>
  <c r="H5459" i="4"/>
  <c r="I5459" i="4" s="1"/>
  <c r="K5458" i="4"/>
  <c r="J5458" i="4"/>
  <c r="H5458" i="4"/>
  <c r="I5458" i="4" s="1"/>
  <c r="K5457" i="4"/>
  <c r="J5457" i="4"/>
  <c r="H5457" i="4"/>
  <c r="I5457" i="4" s="1"/>
  <c r="K5456" i="4"/>
  <c r="J5456" i="4"/>
  <c r="H5456" i="4"/>
  <c r="I5456" i="4" s="1"/>
  <c r="K5455" i="4"/>
  <c r="J5455" i="4"/>
  <c r="H5455" i="4"/>
  <c r="I5455" i="4" s="1"/>
  <c r="K5454" i="4"/>
  <c r="J5454" i="4"/>
  <c r="H5454" i="4"/>
  <c r="I5454" i="4" s="1"/>
  <c r="K5453" i="4"/>
  <c r="J5453" i="4"/>
  <c r="H5453" i="4"/>
  <c r="I5453" i="4" s="1"/>
  <c r="K5452" i="4"/>
  <c r="J5452" i="4"/>
  <c r="H5452" i="4"/>
  <c r="I5452" i="4" s="1"/>
  <c r="K5451" i="4"/>
  <c r="J5451" i="4"/>
  <c r="H5451" i="4"/>
  <c r="I5451" i="4" s="1"/>
  <c r="K5450" i="4"/>
  <c r="J5450" i="4"/>
  <c r="H5450" i="4"/>
  <c r="I5450" i="4" s="1"/>
  <c r="K5449" i="4"/>
  <c r="J5449" i="4"/>
  <c r="H5449" i="4"/>
  <c r="I5449" i="4" s="1"/>
  <c r="K5448" i="4"/>
  <c r="J5448" i="4"/>
  <c r="H5448" i="4"/>
  <c r="I5448" i="4" s="1"/>
  <c r="K5447" i="4"/>
  <c r="J5447" i="4"/>
  <c r="H5447" i="4"/>
  <c r="I5447" i="4" s="1"/>
  <c r="K5446" i="4"/>
  <c r="J5446" i="4"/>
  <c r="H5446" i="4"/>
  <c r="I5446" i="4" s="1"/>
  <c r="K5445" i="4"/>
  <c r="J5445" i="4"/>
  <c r="H5445" i="4"/>
  <c r="I5445" i="4" s="1"/>
  <c r="K5444" i="4"/>
  <c r="J5444" i="4"/>
  <c r="H5444" i="4"/>
  <c r="I5444" i="4" s="1"/>
  <c r="K5443" i="4"/>
  <c r="J5443" i="4"/>
  <c r="H5443" i="4"/>
  <c r="I5443" i="4" s="1"/>
  <c r="K5442" i="4"/>
  <c r="J5442" i="4"/>
  <c r="H5442" i="4"/>
  <c r="I5442" i="4" s="1"/>
  <c r="K5441" i="4"/>
  <c r="J5441" i="4"/>
  <c r="H5441" i="4"/>
  <c r="I5441" i="4" s="1"/>
  <c r="K5440" i="4"/>
  <c r="J5440" i="4"/>
  <c r="H5440" i="4"/>
  <c r="I5440" i="4" s="1"/>
  <c r="K5439" i="4"/>
  <c r="J5439" i="4"/>
  <c r="H5439" i="4"/>
  <c r="I5439" i="4" s="1"/>
  <c r="K5438" i="4"/>
  <c r="J5438" i="4"/>
  <c r="H5438" i="4"/>
  <c r="I5438" i="4" s="1"/>
  <c r="K5437" i="4"/>
  <c r="J5437" i="4"/>
  <c r="H5437" i="4"/>
  <c r="I5437" i="4" s="1"/>
  <c r="K5436" i="4"/>
  <c r="J5436" i="4"/>
  <c r="H5436" i="4"/>
  <c r="I5436" i="4" s="1"/>
  <c r="K5435" i="4"/>
  <c r="J5435" i="4"/>
  <c r="H5435" i="4"/>
  <c r="I5435" i="4" s="1"/>
  <c r="K5434" i="4"/>
  <c r="J5434" i="4"/>
  <c r="H5434" i="4"/>
  <c r="I5434" i="4" s="1"/>
  <c r="K5433" i="4"/>
  <c r="J5433" i="4"/>
  <c r="H5433" i="4"/>
  <c r="I5433" i="4" s="1"/>
  <c r="K5432" i="4"/>
  <c r="J5432" i="4"/>
  <c r="H5432" i="4"/>
  <c r="I5432" i="4" s="1"/>
  <c r="K5431" i="4"/>
  <c r="J5431" i="4"/>
  <c r="H5431" i="4"/>
  <c r="I5431" i="4" s="1"/>
  <c r="K5430" i="4"/>
  <c r="J5430" i="4"/>
  <c r="H5430" i="4"/>
  <c r="I5430" i="4" s="1"/>
  <c r="K5429" i="4"/>
  <c r="J5429" i="4"/>
  <c r="H5429" i="4"/>
  <c r="I5429" i="4" s="1"/>
  <c r="K5428" i="4"/>
  <c r="J5428" i="4"/>
  <c r="H5428" i="4"/>
  <c r="I5428" i="4" s="1"/>
  <c r="K5427" i="4"/>
  <c r="J5427" i="4"/>
  <c r="H5427" i="4"/>
  <c r="I5427" i="4" s="1"/>
  <c r="K5426" i="4"/>
  <c r="J5426" i="4"/>
  <c r="H5426" i="4"/>
  <c r="I5426" i="4" s="1"/>
  <c r="K5425" i="4"/>
  <c r="J5425" i="4"/>
  <c r="H5425" i="4"/>
  <c r="I5425" i="4" s="1"/>
  <c r="K5424" i="4"/>
  <c r="J5424" i="4"/>
  <c r="H5424" i="4"/>
  <c r="I5424" i="4" s="1"/>
  <c r="K5423" i="4"/>
  <c r="J5423" i="4"/>
  <c r="H5423" i="4"/>
  <c r="I5423" i="4" s="1"/>
  <c r="K5422" i="4"/>
  <c r="J5422" i="4"/>
  <c r="H5422" i="4"/>
  <c r="I5422" i="4" s="1"/>
  <c r="K5421" i="4"/>
  <c r="J5421" i="4"/>
  <c r="H5421" i="4"/>
  <c r="I5421" i="4" s="1"/>
  <c r="K5420" i="4"/>
  <c r="J5420" i="4"/>
  <c r="H5420" i="4"/>
  <c r="I5420" i="4" s="1"/>
  <c r="K5419" i="4"/>
  <c r="J5419" i="4"/>
  <c r="H5419" i="4"/>
  <c r="I5419" i="4" s="1"/>
  <c r="K5418" i="4"/>
  <c r="J5418" i="4"/>
  <c r="H5418" i="4"/>
  <c r="I5418" i="4" s="1"/>
  <c r="K5417" i="4"/>
  <c r="J5417" i="4"/>
  <c r="H5417" i="4"/>
  <c r="I5417" i="4" s="1"/>
  <c r="K5416" i="4"/>
  <c r="J5416" i="4"/>
  <c r="H5416" i="4"/>
  <c r="I5416" i="4" s="1"/>
  <c r="K5415" i="4"/>
  <c r="J5415" i="4"/>
  <c r="H5415" i="4"/>
  <c r="I5415" i="4" s="1"/>
  <c r="K5414" i="4"/>
  <c r="J5414" i="4"/>
  <c r="H5414" i="4"/>
  <c r="I5414" i="4" s="1"/>
  <c r="K5413" i="4"/>
  <c r="J5413" i="4"/>
  <c r="H5413" i="4"/>
  <c r="I5413" i="4" s="1"/>
  <c r="K5412" i="4"/>
  <c r="J5412" i="4"/>
  <c r="H5412" i="4"/>
  <c r="I5412" i="4" s="1"/>
  <c r="K5411" i="4"/>
  <c r="J5411" i="4"/>
  <c r="H5411" i="4"/>
  <c r="I5411" i="4" s="1"/>
  <c r="K5410" i="4"/>
  <c r="J5410" i="4"/>
  <c r="H5410" i="4"/>
  <c r="I5410" i="4" s="1"/>
  <c r="K5409" i="4"/>
  <c r="J5409" i="4"/>
  <c r="H5409" i="4"/>
  <c r="I5409" i="4" s="1"/>
  <c r="K5408" i="4"/>
  <c r="J5408" i="4"/>
  <c r="H5408" i="4"/>
  <c r="I5408" i="4" s="1"/>
  <c r="K5407" i="4"/>
  <c r="J5407" i="4"/>
  <c r="H5407" i="4"/>
  <c r="I5407" i="4" s="1"/>
  <c r="K5406" i="4"/>
  <c r="J5406" i="4"/>
  <c r="H5406" i="4"/>
  <c r="I5406" i="4" s="1"/>
  <c r="K5405" i="4"/>
  <c r="J5405" i="4"/>
  <c r="H5405" i="4"/>
  <c r="I5405" i="4" s="1"/>
  <c r="K5404" i="4"/>
  <c r="J5404" i="4"/>
  <c r="H5404" i="4"/>
  <c r="I5404" i="4" s="1"/>
  <c r="K5403" i="4"/>
  <c r="J5403" i="4"/>
  <c r="H5403" i="4"/>
  <c r="I5403" i="4" s="1"/>
  <c r="K5402" i="4"/>
  <c r="J5402" i="4"/>
  <c r="H5402" i="4"/>
  <c r="I5402" i="4" s="1"/>
  <c r="K5401" i="4"/>
  <c r="J5401" i="4"/>
  <c r="H5401" i="4"/>
  <c r="I5401" i="4" s="1"/>
  <c r="K5400" i="4"/>
  <c r="J5400" i="4"/>
  <c r="H5400" i="4"/>
  <c r="I5400" i="4" s="1"/>
  <c r="K5399" i="4"/>
  <c r="J5399" i="4"/>
  <c r="H5399" i="4"/>
  <c r="I5399" i="4" s="1"/>
  <c r="K5398" i="4"/>
  <c r="J5398" i="4"/>
  <c r="H5398" i="4"/>
  <c r="I5398" i="4" s="1"/>
  <c r="K5397" i="4"/>
  <c r="J5397" i="4"/>
  <c r="H5397" i="4"/>
  <c r="I5397" i="4" s="1"/>
  <c r="K5396" i="4"/>
  <c r="J5396" i="4"/>
  <c r="H5396" i="4"/>
  <c r="I5396" i="4" s="1"/>
  <c r="K5395" i="4"/>
  <c r="J5395" i="4"/>
  <c r="H5395" i="4"/>
  <c r="I5395" i="4" s="1"/>
  <c r="K5394" i="4"/>
  <c r="J5394" i="4"/>
  <c r="H5394" i="4"/>
  <c r="I5394" i="4" s="1"/>
  <c r="K5393" i="4"/>
  <c r="J5393" i="4"/>
  <c r="H5393" i="4"/>
  <c r="I5393" i="4" s="1"/>
  <c r="K5392" i="4"/>
  <c r="J5392" i="4"/>
  <c r="H5392" i="4"/>
  <c r="I5392" i="4" s="1"/>
  <c r="K5391" i="4"/>
  <c r="J5391" i="4"/>
  <c r="H5391" i="4"/>
  <c r="I5391" i="4" s="1"/>
  <c r="K5390" i="4"/>
  <c r="J5390" i="4"/>
  <c r="H5390" i="4"/>
  <c r="I5390" i="4" s="1"/>
  <c r="K5389" i="4"/>
  <c r="J5389" i="4"/>
  <c r="H5389" i="4"/>
  <c r="I5389" i="4" s="1"/>
  <c r="K5388" i="4"/>
  <c r="J5388" i="4"/>
  <c r="H5388" i="4"/>
  <c r="I5388" i="4" s="1"/>
  <c r="K5387" i="4"/>
  <c r="J5387" i="4"/>
  <c r="H5387" i="4"/>
  <c r="I5387" i="4" s="1"/>
  <c r="K5386" i="4"/>
  <c r="J5386" i="4"/>
  <c r="H5386" i="4"/>
  <c r="I5386" i="4" s="1"/>
  <c r="K5385" i="4"/>
  <c r="J5385" i="4"/>
  <c r="H5385" i="4"/>
  <c r="I5385" i="4" s="1"/>
  <c r="K5384" i="4"/>
  <c r="J5384" i="4"/>
  <c r="H5384" i="4"/>
  <c r="I5384" i="4" s="1"/>
  <c r="K5383" i="4"/>
  <c r="J5383" i="4"/>
  <c r="H5383" i="4"/>
  <c r="I5383" i="4" s="1"/>
  <c r="K5382" i="4"/>
  <c r="J5382" i="4"/>
  <c r="H5382" i="4"/>
  <c r="I5382" i="4" s="1"/>
  <c r="K5381" i="4"/>
  <c r="J5381" i="4"/>
  <c r="H5381" i="4"/>
  <c r="I5381" i="4" s="1"/>
  <c r="K5380" i="4"/>
  <c r="J5380" i="4"/>
  <c r="H5380" i="4"/>
  <c r="I5380" i="4" s="1"/>
  <c r="K5379" i="4"/>
  <c r="J5379" i="4"/>
  <c r="H5379" i="4"/>
  <c r="I5379" i="4" s="1"/>
  <c r="K5378" i="4"/>
  <c r="J5378" i="4"/>
  <c r="H5378" i="4"/>
  <c r="I5378" i="4" s="1"/>
  <c r="K5377" i="4"/>
  <c r="J5377" i="4"/>
  <c r="H5377" i="4"/>
  <c r="I5377" i="4" s="1"/>
  <c r="K5376" i="4"/>
  <c r="J5376" i="4"/>
  <c r="H5376" i="4"/>
  <c r="I5376" i="4" s="1"/>
  <c r="K5375" i="4"/>
  <c r="J5375" i="4"/>
  <c r="H5375" i="4"/>
  <c r="I5375" i="4" s="1"/>
  <c r="K5374" i="4"/>
  <c r="J5374" i="4"/>
  <c r="H5374" i="4"/>
  <c r="I5374" i="4" s="1"/>
  <c r="K5373" i="4"/>
  <c r="J5373" i="4"/>
  <c r="H5373" i="4"/>
  <c r="I5373" i="4" s="1"/>
  <c r="K5372" i="4"/>
  <c r="J5372" i="4"/>
  <c r="H5372" i="4"/>
  <c r="I5372" i="4" s="1"/>
  <c r="K5371" i="4"/>
  <c r="J5371" i="4"/>
  <c r="H5371" i="4"/>
  <c r="I5371" i="4" s="1"/>
  <c r="K5370" i="4"/>
  <c r="J5370" i="4"/>
  <c r="H5370" i="4"/>
  <c r="I5370" i="4" s="1"/>
  <c r="K5369" i="4"/>
  <c r="J5369" i="4"/>
  <c r="H5369" i="4"/>
  <c r="I5369" i="4" s="1"/>
  <c r="K5368" i="4"/>
  <c r="J5368" i="4"/>
  <c r="H5368" i="4"/>
  <c r="I5368" i="4" s="1"/>
  <c r="K5367" i="4"/>
  <c r="J5367" i="4"/>
  <c r="H5367" i="4"/>
  <c r="I5367" i="4" s="1"/>
  <c r="K5366" i="4"/>
  <c r="J5366" i="4"/>
  <c r="H5366" i="4"/>
  <c r="I5366" i="4" s="1"/>
  <c r="K5365" i="4"/>
  <c r="J5365" i="4"/>
  <c r="H5365" i="4"/>
  <c r="I5365" i="4" s="1"/>
  <c r="K5364" i="4"/>
  <c r="J5364" i="4"/>
  <c r="H5364" i="4"/>
  <c r="I5364" i="4" s="1"/>
  <c r="K5363" i="4"/>
  <c r="J5363" i="4"/>
  <c r="H5363" i="4"/>
  <c r="I5363" i="4" s="1"/>
  <c r="K5362" i="4"/>
  <c r="J5362" i="4"/>
  <c r="H5362" i="4"/>
  <c r="I5362" i="4" s="1"/>
  <c r="K5361" i="4"/>
  <c r="J5361" i="4"/>
  <c r="H5361" i="4"/>
  <c r="I5361" i="4" s="1"/>
  <c r="K5360" i="4"/>
  <c r="J5360" i="4"/>
  <c r="H5360" i="4"/>
  <c r="I5360" i="4" s="1"/>
  <c r="K5359" i="4"/>
  <c r="J5359" i="4"/>
  <c r="H5359" i="4"/>
  <c r="I5359" i="4" s="1"/>
  <c r="K5358" i="4"/>
  <c r="J5358" i="4"/>
  <c r="H5358" i="4"/>
  <c r="I5358" i="4" s="1"/>
  <c r="K5357" i="4"/>
  <c r="J5357" i="4"/>
  <c r="H5357" i="4"/>
  <c r="I5357" i="4" s="1"/>
  <c r="K5356" i="4"/>
  <c r="J5356" i="4"/>
  <c r="H5356" i="4"/>
  <c r="I5356" i="4" s="1"/>
  <c r="K5355" i="4"/>
  <c r="J5355" i="4"/>
  <c r="H5355" i="4"/>
  <c r="I5355" i="4" s="1"/>
  <c r="K5354" i="4"/>
  <c r="J5354" i="4"/>
  <c r="H5354" i="4"/>
  <c r="I5354" i="4" s="1"/>
  <c r="K5353" i="4"/>
  <c r="J5353" i="4"/>
  <c r="H5353" i="4"/>
  <c r="I5353" i="4" s="1"/>
  <c r="K5352" i="4"/>
  <c r="J5352" i="4"/>
  <c r="H5352" i="4"/>
  <c r="I5352" i="4" s="1"/>
  <c r="K5351" i="4"/>
  <c r="J5351" i="4"/>
  <c r="H5351" i="4"/>
  <c r="I5351" i="4" s="1"/>
  <c r="K5350" i="4"/>
  <c r="J5350" i="4"/>
  <c r="H5350" i="4"/>
  <c r="I5350" i="4" s="1"/>
  <c r="K5349" i="4"/>
  <c r="J5349" i="4"/>
  <c r="H5349" i="4"/>
  <c r="I5349" i="4" s="1"/>
  <c r="K5348" i="4"/>
  <c r="J5348" i="4"/>
  <c r="H5348" i="4"/>
  <c r="I5348" i="4" s="1"/>
  <c r="K5347" i="4"/>
  <c r="J5347" i="4"/>
  <c r="H5347" i="4"/>
  <c r="I5347" i="4" s="1"/>
  <c r="K5346" i="4"/>
  <c r="J5346" i="4"/>
  <c r="H5346" i="4"/>
  <c r="I5346" i="4" s="1"/>
  <c r="K5345" i="4"/>
  <c r="J5345" i="4"/>
  <c r="H5345" i="4"/>
  <c r="I5345" i="4" s="1"/>
  <c r="K5344" i="4"/>
  <c r="J5344" i="4"/>
  <c r="H5344" i="4"/>
  <c r="I5344" i="4" s="1"/>
  <c r="K5343" i="4"/>
  <c r="J5343" i="4"/>
  <c r="H5343" i="4"/>
  <c r="I5343" i="4" s="1"/>
  <c r="K5342" i="4"/>
  <c r="J5342" i="4"/>
  <c r="H5342" i="4"/>
  <c r="I5342" i="4" s="1"/>
  <c r="K5341" i="4"/>
  <c r="J5341" i="4"/>
  <c r="H5341" i="4"/>
  <c r="I5341" i="4" s="1"/>
  <c r="K5340" i="4"/>
  <c r="J5340" i="4"/>
  <c r="H5340" i="4"/>
  <c r="I5340" i="4" s="1"/>
  <c r="K5339" i="4"/>
  <c r="J5339" i="4"/>
  <c r="H5339" i="4"/>
  <c r="I5339" i="4" s="1"/>
  <c r="K5338" i="4"/>
  <c r="J5338" i="4"/>
  <c r="H5338" i="4"/>
  <c r="I5338" i="4" s="1"/>
  <c r="K5337" i="4"/>
  <c r="J5337" i="4"/>
  <c r="H5337" i="4"/>
  <c r="I5337" i="4" s="1"/>
  <c r="K5336" i="4"/>
  <c r="J5336" i="4"/>
  <c r="H5336" i="4"/>
  <c r="I5336" i="4" s="1"/>
  <c r="K5335" i="4"/>
  <c r="J5335" i="4"/>
  <c r="H5335" i="4"/>
  <c r="I5335" i="4" s="1"/>
  <c r="K5334" i="4"/>
  <c r="J5334" i="4"/>
  <c r="H5334" i="4"/>
  <c r="I5334" i="4" s="1"/>
  <c r="K5333" i="4"/>
  <c r="J5333" i="4"/>
  <c r="H5333" i="4"/>
  <c r="I5333" i="4" s="1"/>
  <c r="K5332" i="4"/>
  <c r="J5332" i="4"/>
  <c r="H5332" i="4"/>
  <c r="I5332" i="4" s="1"/>
  <c r="K5331" i="4"/>
  <c r="J5331" i="4"/>
  <c r="H5331" i="4"/>
  <c r="I5331" i="4" s="1"/>
  <c r="K5330" i="4"/>
  <c r="J5330" i="4"/>
  <c r="H5330" i="4"/>
  <c r="I5330" i="4" s="1"/>
  <c r="K5329" i="4"/>
  <c r="J5329" i="4"/>
  <c r="H5329" i="4"/>
  <c r="I5329" i="4" s="1"/>
  <c r="K5328" i="4"/>
  <c r="J5328" i="4"/>
  <c r="H5328" i="4"/>
  <c r="I5328" i="4" s="1"/>
  <c r="K5327" i="4"/>
  <c r="J5327" i="4"/>
  <c r="H5327" i="4"/>
  <c r="I5327" i="4" s="1"/>
  <c r="K5326" i="4"/>
  <c r="J5326" i="4"/>
  <c r="H5326" i="4"/>
  <c r="I5326" i="4" s="1"/>
  <c r="K5325" i="4"/>
  <c r="J5325" i="4"/>
  <c r="H5325" i="4"/>
  <c r="I5325" i="4" s="1"/>
  <c r="K5324" i="4"/>
  <c r="J5324" i="4"/>
  <c r="H5324" i="4"/>
  <c r="I5324" i="4" s="1"/>
  <c r="K5323" i="4"/>
  <c r="J5323" i="4"/>
  <c r="H5323" i="4"/>
  <c r="I5323" i="4" s="1"/>
  <c r="K5322" i="4"/>
  <c r="J5322" i="4"/>
  <c r="H5322" i="4"/>
  <c r="I5322" i="4" s="1"/>
  <c r="K5321" i="4"/>
  <c r="J5321" i="4"/>
  <c r="H5321" i="4"/>
  <c r="I5321" i="4" s="1"/>
  <c r="K5320" i="4"/>
  <c r="J5320" i="4"/>
  <c r="H5320" i="4"/>
  <c r="I5320" i="4" s="1"/>
  <c r="K5319" i="4"/>
  <c r="J5319" i="4"/>
  <c r="H5319" i="4"/>
  <c r="I5319" i="4" s="1"/>
  <c r="K5318" i="4"/>
  <c r="J5318" i="4"/>
  <c r="H5318" i="4"/>
  <c r="I5318" i="4" s="1"/>
  <c r="K5317" i="4"/>
  <c r="J5317" i="4"/>
  <c r="H5317" i="4"/>
  <c r="I5317" i="4" s="1"/>
  <c r="K5316" i="4"/>
  <c r="J5316" i="4"/>
  <c r="H5316" i="4"/>
  <c r="I5316" i="4" s="1"/>
  <c r="K5315" i="4"/>
  <c r="J5315" i="4"/>
  <c r="H5315" i="4"/>
  <c r="I5315" i="4" s="1"/>
  <c r="K5314" i="4"/>
  <c r="J5314" i="4"/>
  <c r="H5314" i="4"/>
  <c r="I5314" i="4" s="1"/>
  <c r="K5313" i="4"/>
  <c r="J5313" i="4"/>
  <c r="H5313" i="4"/>
  <c r="I5313" i="4" s="1"/>
  <c r="K5312" i="4"/>
  <c r="J5312" i="4"/>
  <c r="H5312" i="4"/>
  <c r="I5312" i="4" s="1"/>
  <c r="K5311" i="4"/>
  <c r="J5311" i="4"/>
  <c r="H5311" i="4"/>
  <c r="I5311" i="4" s="1"/>
  <c r="K5310" i="4"/>
  <c r="J5310" i="4"/>
  <c r="H5310" i="4"/>
  <c r="I5310" i="4" s="1"/>
  <c r="K5309" i="4"/>
  <c r="J5309" i="4"/>
  <c r="H5309" i="4"/>
  <c r="I5309" i="4" s="1"/>
  <c r="K5308" i="4"/>
  <c r="J5308" i="4"/>
  <c r="H5308" i="4"/>
  <c r="I5308" i="4" s="1"/>
  <c r="K5307" i="4"/>
  <c r="J5307" i="4"/>
  <c r="H5307" i="4"/>
  <c r="I5307" i="4" s="1"/>
  <c r="K5306" i="4"/>
  <c r="J5306" i="4"/>
  <c r="H5306" i="4"/>
  <c r="I5306" i="4" s="1"/>
  <c r="K5305" i="4"/>
  <c r="J5305" i="4"/>
  <c r="H5305" i="4"/>
  <c r="I5305" i="4" s="1"/>
  <c r="K5304" i="4"/>
  <c r="J5304" i="4"/>
  <c r="H5304" i="4"/>
  <c r="I5304" i="4" s="1"/>
  <c r="K5303" i="4"/>
  <c r="J5303" i="4"/>
  <c r="H5303" i="4"/>
  <c r="I5303" i="4" s="1"/>
  <c r="K5302" i="4"/>
  <c r="J5302" i="4"/>
  <c r="H5302" i="4"/>
  <c r="I5302" i="4" s="1"/>
  <c r="K5301" i="4"/>
  <c r="J5301" i="4"/>
  <c r="H5301" i="4"/>
  <c r="I5301" i="4" s="1"/>
  <c r="K5300" i="4"/>
  <c r="J5300" i="4"/>
  <c r="H5300" i="4"/>
  <c r="I5300" i="4" s="1"/>
  <c r="K5299" i="4"/>
  <c r="J5299" i="4"/>
  <c r="H5299" i="4"/>
  <c r="I5299" i="4" s="1"/>
  <c r="K5298" i="4"/>
  <c r="J5298" i="4"/>
  <c r="H5298" i="4"/>
  <c r="I5298" i="4" s="1"/>
  <c r="K5297" i="4"/>
  <c r="J5297" i="4"/>
  <c r="H5297" i="4"/>
  <c r="I5297" i="4" s="1"/>
  <c r="K5296" i="4"/>
  <c r="J5296" i="4"/>
  <c r="H5296" i="4"/>
  <c r="I5296" i="4" s="1"/>
  <c r="K5295" i="4"/>
  <c r="J5295" i="4"/>
  <c r="H5295" i="4"/>
  <c r="I5295" i="4" s="1"/>
  <c r="K5294" i="4"/>
  <c r="J5294" i="4"/>
  <c r="H5294" i="4"/>
  <c r="I5294" i="4" s="1"/>
  <c r="K5293" i="4"/>
  <c r="J5293" i="4"/>
  <c r="H5293" i="4"/>
  <c r="I5293" i="4" s="1"/>
  <c r="K5292" i="4"/>
  <c r="J5292" i="4"/>
  <c r="H5292" i="4"/>
  <c r="I5292" i="4" s="1"/>
  <c r="K5291" i="4"/>
  <c r="J5291" i="4"/>
  <c r="H5291" i="4"/>
  <c r="I5291" i="4" s="1"/>
  <c r="K5290" i="4"/>
  <c r="J5290" i="4"/>
  <c r="H5290" i="4"/>
  <c r="I5290" i="4" s="1"/>
  <c r="K5289" i="4"/>
  <c r="J5289" i="4"/>
  <c r="H5289" i="4"/>
  <c r="I5289" i="4" s="1"/>
  <c r="K5288" i="4"/>
  <c r="J5288" i="4"/>
  <c r="H5288" i="4"/>
  <c r="I5288" i="4" s="1"/>
  <c r="K5287" i="4"/>
  <c r="J5287" i="4"/>
  <c r="H5287" i="4"/>
  <c r="I5287" i="4" s="1"/>
  <c r="K5286" i="4"/>
  <c r="J5286" i="4"/>
  <c r="H5286" i="4"/>
  <c r="I5286" i="4" s="1"/>
  <c r="K5285" i="4"/>
  <c r="J5285" i="4"/>
  <c r="H5285" i="4"/>
  <c r="I5285" i="4" s="1"/>
  <c r="K5284" i="4"/>
  <c r="J5284" i="4"/>
  <c r="H5284" i="4"/>
  <c r="I5284" i="4" s="1"/>
  <c r="K5283" i="4"/>
  <c r="J5283" i="4"/>
  <c r="H5283" i="4"/>
  <c r="I5283" i="4" s="1"/>
  <c r="K5282" i="4"/>
  <c r="J5282" i="4"/>
  <c r="H5282" i="4"/>
  <c r="I5282" i="4" s="1"/>
  <c r="K5281" i="4"/>
  <c r="J5281" i="4"/>
  <c r="H5281" i="4"/>
  <c r="I5281" i="4" s="1"/>
  <c r="K5280" i="4"/>
  <c r="J5280" i="4"/>
  <c r="H5280" i="4"/>
  <c r="I5280" i="4" s="1"/>
  <c r="K5279" i="4"/>
  <c r="J5279" i="4"/>
  <c r="H5279" i="4"/>
  <c r="I5279" i="4" s="1"/>
  <c r="K5278" i="4"/>
  <c r="J5278" i="4"/>
  <c r="H5278" i="4"/>
  <c r="I5278" i="4" s="1"/>
  <c r="K5277" i="4"/>
  <c r="J5277" i="4"/>
  <c r="H5277" i="4"/>
  <c r="I5277" i="4" s="1"/>
  <c r="K5276" i="4"/>
  <c r="J5276" i="4"/>
  <c r="H5276" i="4"/>
  <c r="I5276" i="4" s="1"/>
  <c r="K5275" i="4"/>
  <c r="J5275" i="4"/>
  <c r="H5275" i="4"/>
  <c r="I5275" i="4" s="1"/>
  <c r="K5274" i="4"/>
  <c r="J5274" i="4"/>
  <c r="H5274" i="4"/>
  <c r="I5274" i="4" s="1"/>
  <c r="K5273" i="4"/>
  <c r="J5273" i="4"/>
  <c r="H5273" i="4"/>
  <c r="I5273" i="4" s="1"/>
  <c r="K5272" i="4"/>
  <c r="J5272" i="4"/>
  <c r="H5272" i="4"/>
  <c r="I5272" i="4" s="1"/>
  <c r="K5271" i="4"/>
  <c r="J5271" i="4"/>
  <c r="H5271" i="4"/>
  <c r="I5271" i="4" s="1"/>
  <c r="K5270" i="4"/>
  <c r="J5270" i="4"/>
  <c r="H5270" i="4"/>
  <c r="I5270" i="4" s="1"/>
  <c r="K5269" i="4"/>
  <c r="J5269" i="4"/>
  <c r="H5269" i="4"/>
  <c r="I5269" i="4" s="1"/>
  <c r="K5268" i="4"/>
  <c r="J5268" i="4"/>
  <c r="H5268" i="4"/>
  <c r="I5268" i="4" s="1"/>
  <c r="K5267" i="4"/>
  <c r="J5267" i="4"/>
  <c r="H5267" i="4"/>
  <c r="I5267" i="4" s="1"/>
  <c r="K5266" i="4"/>
  <c r="J5266" i="4"/>
  <c r="H5266" i="4"/>
  <c r="I5266" i="4" s="1"/>
  <c r="K5265" i="4"/>
  <c r="J5265" i="4"/>
  <c r="H5265" i="4"/>
  <c r="I5265" i="4" s="1"/>
  <c r="K5264" i="4"/>
  <c r="J5264" i="4"/>
  <c r="H5264" i="4"/>
  <c r="I5264" i="4" s="1"/>
  <c r="K5263" i="4"/>
  <c r="J5263" i="4"/>
  <c r="H5263" i="4"/>
  <c r="I5263" i="4" s="1"/>
  <c r="K5262" i="4"/>
  <c r="J5262" i="4"/>
  <c r="H5262" i="4"/>
  <c r="I5262" i="4" s="1"/>
  <c r="K5261" i="4"/>
  <c r="J5261" i="4"/>
  <c r="H5261" i="4"/>
  <c r="I5261" i="4" s="1"/>
  <c r="K5260" i="4"/>
  <c r="J5260" i="4"/>
  <c r="H5260" i="4"/>
  <c r="I5260" i="4" s="1"/>
  <c r="K5259" i="4"/>
  <c r="J5259" i="4"/>
  <c r="H5259" i="4"/>
  <c r="I5259" i="4" s="1"/>
  <c r="K5258" i="4"/>
  <c r="J5258" i="4"/>
  <c r="H5258" i="4"/>
  <c r="I5258" i="4" s="1"/>
  <c r="K5257" i="4"/>
  <c r="J5257" i="4"/>
  <c r="H5257" i="4"/>
  <c r="I5257" i="4" s="1"/>
  <c r="K5256" i="4"/>
  <c r="J5256" i="4"/>
  <c r="H5256" i="4"/>
  <c r="I5256" i="4" s="1"/>
  <c r="K5255" i="4"/>
  <c r="J5255" i="4"/>
  <c r="H5255" i="4"/>
  <c r="I5255" i="4" s="1"/>
  <c r="K5254" i="4"/>
  <c r="J5254" i="4"/>
  <c r="H5254" i="4"/>
  <c r="I5254" i="4" s="1"/>
  <c r="K5253" i="4"/>
  <c r="J5253" i="4"/>
  <c r="H5253" i="4"/>
  <c r="I5253" i="4" s="1"/>
  <c r="K5252" i="4"/>
  <c r="J5252" i="4"/>
  <c r="H5252" i="4"/>
  <c r="I5252" i="4" s="1"/>
  <c r="K5251" i="4"/>
  <c r="J5251" i="4"/>
  <c r="H5251" i="4"/>
  <c r="I5251" i="4" s="1"/>
  <c r="K5250" i="4"/>
  <c r="J5250" i="4"/>
  <c r="H5250" i="4"/>
  <c r="I5250" i="4" s="1"/>
  <c r="K5249" i="4"/>
  <c r="J5249" i="4"/>
  <c r="H5249" i="4"/>
  <c r="I5249" i="4" s="1"/>
  <c r="K5248" i="4"/>
  <c r="J5248" i="4"/>
  <c r="H5248" i="4"/>
  <c r="I5248" i="4" s="1"/>
  <c r="K5247" i="4"/>
  <c r="J5247" i="4"/>
  <c r="H5247" i="4"/>
  <c r="I5247" i="4" s="1"/>
  <c r="K5246" i="4"/>
  <c r="J5246" i="4"/>
  <c r="H5246" i="4"/>
  <c r="I5246" i="4" s="1"/>
  <c r="K5245" i="4"/>
  <c r="J5245" i="4"/>
  <c r="H5245" i="4"/>
  <c r="I5245" i="4" s="1"/>
  <c r="K5244" i="4"/>
  <c r="J5244" i="4"/>
  <c r="H5244" i="4"/>
  <c r="I5244" i="4" s="1"/>
  <c r="K5243" i="4"/>
  <c r="J5243" i="4"/>
  <c r="H5243" i="4"/>
  <c r="I5243" i="4" s="1"/>
  <c r="K5242" i="4"/>
  <c r="J5242" i="4"/>
  <c r="H5242" i="4"/>
  <c r="I5242" i="4" s="1"/>
  <c r="K5241" i="4"/>
  <c r="J5241" i="4"/>
  <c r="H5241" i="4"/>
  <c r="I5241" i="4" s="1"/>
  <c r="K5240" i="4"/>
  <c r="J5240" i="4"/>
  <c r="H5240" i="4"/>
  <c r="I5240" i="4" s="1"/>
  <c r="K5239" i="4"/>
  <c r="J5239" i="4"/>
  <c r="H5239" i="4"/>
  <c r="I5239" i="4" s="1"/>
  <c r="K5238" i="4"/>
  <c r="J5238" i="4"/>
  <c r="H5238" i="4"/>
  <c r="I5238" i="4" s="1"/>
  <c r="K5237" i="4"/>
  <c r="J5237" i="4"/>
  <c r="H5237" i="4"/>
  <c r="I5237" i="4" s="1"/>
  <c r="K5236" i="4"/>
  <c r="J5236" i="4"/>
  <c r="H5236" i="4"/>
  <c r="I5236" i="4" s="1"/>
  <c r="K5235" i="4"/>
  <c r="J5235" i="4"/>
  <c r="H5235" i="4"/>
  <c r="I5235" i="4" s="1"/>
  <c r="K5234" i="4"/>
  <c r="J5234" i="4"/>
  <c r="H5234" i="4"/>
  <c r="I5234" i="4" s="1"/>
  <c r="K5233" i="4"/>
  <c r="J5233" i="4"/>
  <c r="H5233" i="4"/>
  <c r="I5233" i="4" s="1"/>
  <c r="K5232" i="4"/>
  <c r="J5232" i="4"/>
  <c r="H5232" i="4"/>
  <c r="I5232" i="4" s="1"/>
  <c r="K5231" i="4"/>
  <c r="J5231" i="4"/>
  <c r="H5231" i="4"/>
  <c r="I5231" i="4" s="1"/>
  <c r="K5230" i="4"/>
  <c r="J5230" i="4"/>
  <c r="H5230" i="4"/>
  <c r="I5230" i="4" s="1"/>
  <c r="K5229" i="4"/>
  <c r="J5229" i="4"/>
  <c r="H5229" i="4"/>
  <c r="I5229" i="4" s="1"/>
  <c r="K5228" i="4"/>
  <c r="J5228" i="4"/>
  <c r="H5228" i="4"/>
  <c r="I5228" i="4" s="1"/>
  <c r="K5227" i="4"/>
  <c r="J5227" i="4"/>
  <c r="H5227" i="4"/>
  <c r="I5227" i="4" s="1"/>
  <c r="K5226" i="4"/>
  <c r="J5226" i="4"/>
  <c r="H5226" i="4"/>
  <c r="I5226" i="4" s="1"/>
  <c r="K5225" i="4"/>
  <c r="J5225" i="4"/>
  <c r="H5225" i="4"/>
  <c r="I5225" i="4" s="1"/>
  <c r="K5224" i="4"/>
  <c r="J5224" i="4"/>
  <c r="H5224" i="4"/>
  <c r="I5224" i="4" s="1"/>
  <c r="K5223" i="4"/>
  <c r="J5223" i="4"/>
  <c r="H5223" i="4"/>
  <c r="I5223" i="4" s="1"/>
  <c r="K5222" i="4"/>
  <c r="J5222" i="4"/>
  <c r="H5222" i="4"/>
  <c r="I5222" i="4" s="1"/>
  <c r="K5221" i="4"/>
  <c r="J5221" i="4"/>
  <c r="H5221" i="4"/>
  <c r="I5221" i="4" s="1"/>
  <c r="K5220" i="4"/>
  <c r="J5220" i="4"/>
  <c r="H5220" i="4"/>
  <c r="I5220" i="4" s="1"/>
  <c r="K5219" i="4"/>
  <c r="J5219" i="4"/>
  <c r="H5219" i="4"/>
  <c r="I5219" i="4" s="1"/>
  <c r="K5218" i="4"/>
  <c r="J5218" i="4"/>
  <c r="H5218" i="4"/>
  <c r="I5218" i="4" s="1"/>
  <c r="K5217" i="4"/>
  <c r="J5217" i="4"/>
  <c r="H5217" i="4"/>
  <c r="I5217" i="4" s="1"/>
  <c r="K5216" i="4"/>
  <c r="J5216" i="4"/>
  <c r="H5216" i="4"/>
  <c r="I5216" i="4" s="1"/>
  <c r="K5215" i="4"/>
  <c r="J5215" i="4"/>
  <c r="H5215" i="4"/>
  <c r="I5215" i="4" s="1"/>
  <c r="K5214" i="4"/>
  <c r="J5214" i="4"/>
  <c r="H5214" i="4"/>
  <c r="I5214" i="4" s="1"/>
  <c r="K5213" i="4"/>
  <c r="J5213" i="4"/>
  <c r="H5213" i="4"/>
  <c r="I5213" i="4" s="1"/>
  <c r="K5212" i="4"/>
  <c r="J5212" i="4"/>
  <c r="H5212" i="4"/>
  <c r="I5212" i="4" s="1"/>
  <c r="K5211" i="4"/>
  <c r="J5211" i="4"/>
  <c r="H5211" i="4"/>
  <c r="I5211" i="4" s="1"/>
  <c r="K5210" i="4"/>
  <c r="J5210" i="4"/>
  <c r="H5210" i="4"/>
  <c r="I5210" i="4" s="1"/>
  <c r="K5209" i="4"/>
  <c r="J5209" i="4"/>
  <c r="H5209" i="4"/>
  <c r="I5209" i="4" s="1"/>
  <c r="K5208" i="4"/>
  <c r="J5208" i="4"/>
  <c r="H5208" i="4"/>
  <c r="I5208" i="4" s="1"/>
  <c r="K5207" i="4"/>
  <c r="J5207" i="4"/>
  <c r="H5207" i="4"/>
  <c r="I5207" i="4" s="1"/>
  <c r="K5206" i="4"/>
  <c r="J5206" i="4"/>
  <c r="H5206" i="4"/>
  <c r="I5206" i="4" s="1"/>
  <c r="K5205" i="4"/>
  <c r="J5205" i="4"/>
  <c r="H5205" i="4"/>
  <c r="I5205" i="4" s="1"/>
  <c r="K5204" i="4"/>
  <c r="J5204" i="4"/>
  <c r="H5204" i="4"/>
  <c r="I5204" i="4" s="1"/>
  <c r="K5203" i="4"/>
  <c r="J5203" i="4"/>
  <c r="H5203" i="4"/>
  <c r="I5203" i="4" s="1"/>
  <c r="K5202" i="4"/>
  <c r="J5202" i="4"/>
  <c r="H5202" i="4"/>
  <c r="I5202" i="4" s="1"/>
  <c r="K5201" i="4"/>
  <c r="J5201" i="4"/>
  <c r="H5201" i="4"/>
  <c r="I5201" i="4" s="1"/>
  <c r="K5200" i="4"/>
  <c r="J5200" i="4"/>
  <c r="H5200" i="4"/>
  <c r="I5200" i="4" s="1"/>
  <c r="K5199" i="4"/>
  <c r="J5199" i="4"/>
  <c r="H5199" i="4"/>
  <c r="I5199" i="4" s="1"/>
  <c r="K5198" i="4"/>
  <c r="J5198" i="4"/>
  <c r="H5198" i="4"/>
  <c r="I5198" i="4" s="1"/>
  <c r="K5197" i="4"/>
  <c r="J5197" i="4"/>
  <c r="H5197" i="4"/>
  <c r="I5197" i="4" s="1"/>
  <c r="K5196" i="4"/>
  <c r="J5196" i="4"/>
  <c r="H5196" i="4"/>
  <c r="I5196" i="4" s="1"/>
  <c r="K5195" i="4"/>
  <c r="J5195" i="4"/>
  <c r="H5195" i="4"/>
  <c r="I5195" i="4" s="1"/>
  <c r="K5194" i="4"/>
  <c r="J5194" i="4"/>
  <c r="H5194" i="4"/>
  <c r="I5194" i="4" s="1"/>
  <c r="K5193" i="4"/>
  <c r="J5193" i="4"/>
  <c r="H5193" i="4"/>
  <c r="I5193" i="4" s="1"/>
  <c r="K5192" i="4"/>
  <c r="J5192" i="4"/>
  <c r="H5192" i="4"/>
  <c r="I5192" i="4" s="1"/>
  <c r="K5191" i="4"/>
  <c r="J5191" i="4"/>
  <c r="H5191" i="4"/>
  <c r="I5191" i="4" s="1"/>
  <c r="K5190" i="4"/>
  <c r="J5190" i="4"/>
  <c r="H5190" i="4"/>
  <c r="I5190" i="4" s="1"/>
  <c r="K5189" i="4"/>
  <c r="J5189" i="4"/>
  <c r="H5189" i="4"/>
  <c r="I5189" i="4" s="1"/>
  <c r="K5188" i="4"/>
  <c r="J5188" i="4"/>
  <c r="H5188" i="4"/>
  <c r="I5188" i="4" s="1"/>
  <c r="K5187" i="4"/>
  <c r="J5187" i="4"/>
  <c r="H5187" i="4"/>
  <c r="I5187" i="4" s="1"/>
  <c r="K5186" i="4"/>
  <c r="J5186" i="4"/>
  <c r="H5186" i="4"/>
  <c r="I5186" i="4" s="1"/>
  <c r="K5185" i="4"/>
  <c r="J5185" i="4"/>
  <c r="H5185" i="4"/>
  <c r="I5185" i="4" s="1"/>
  <c r="K5184" i="4"/>
  <c r="J5184" i="4"/>
  <c r="H5184" i="4"/>
  <c r="I5184" i="4" s="1"/>
  <c r="K5183" i="4"/>
  <c r="J5183" i="4"/>
  <c r="H5183" i="4"/>
  <c r="I5183" i="4" s="1"/>
  <c r="K5182" i="4"/>
  <c r="J5182" i="4"/>
  <c r="H5182" i="4"/>
  <c r="I5182" i="4" s="1"/>
  <c r="K5181" i="4"/>
  <c r="J5181" i="4"/>
  <c r="H5181" i="4"/>
  <c r="I5181" i="4" s="1"/>
  <c r="K5180" i="4"/>
  <c r="J5180" i="4"/>
  <c r="H5180" i="4"/>
  <c r="I5180" i="4" s="1"/>
  <c r="K5179" i="4"/>
  <c r="J5179" i="4"/>
  <c r="H5179" i="4"/>
  <c r="I5179" i="4" s="1"/>
  <c r="K5178" i="4"/>
  <c r="J5178" i="4"/>
  <c r="H5178" i="4"/>
  <c r="I5178" i="4" s="1"/>
  <c r="K5177" i="4"/>
  <c r="J5177" i="4"/>
  <c r="H5177" i="4"/>
  <c r="I5177" i="4" s="1"/>
  <c r="K5176" i="4"/>
  <c r="J5176" i="4"/>
  <c r="H5176" i="4"/>
  <c r="I5176" i="4" s="1"/>
  <c r="K5175" i="4"/>
  <c r="J5175" i="4"/>
  <c r="H5175" i="4"/>
  <c r="I5175" i="4" s="1"/>
  <c r="K5174" i="4"/>
  <c r="J5174" i="4"/>
  <c r="H5174" i="4"/>
  <c r="I5174" i="4" s="1"/>
  <c r="K5173" i="4"/>
  <c r="J5173" i="4"/>
  <c r="H5173" i="4"/>
  <c r="I5173" i="4" s="1"/>
  <c r="K5172" i="4"/>
  <c r="J5172" i="4"/>
  <c r="H5172" i="4"/>
  <c r="I5172" i="4" s="1"/>
  <c r="K5171" i="4"/>
  <c r="J5171" i="4"/>
  <c r="H5171" i="4"/>
  <c r="I5171" i="4" s="1"/>
  <c r="K5170" i="4"/>
  <c r="J5170" i="4"/>
  <c r="H5170" i="4"/>
  <c r="I5170" i="4" s="1"/>
  <c r="K5169" i="4"/>
  <c r="J5169" i="4"/>
  <c r="H5169" i="4"/>
  <c r="I5169" i="4" s="1"/>
  <c r="K5168" i="4"/>
  <c r="J5168" i="4"/>
  <c r="H5168" i="4"/>
  <c r="I5168" i="4" s="1"/>
  <c r="K5167" i="4"/>
  <c r="J5167" i="4"/>
  <c r="H5167" i="4"/>
  <c r="I5167" i="4" s="1"/>
  <c r="K5166" i="4"/>
  <c r="J5166" i="4"/>
  <c r="H5166" i="4"/>
  <c r="I5166" i="4" s="1"/>
  <c r="K5165" i="4"/>
  <c r="J5165" i="4"/>
  <c r="H5165" i="4"/>
  <c r="I5165" i="4" s="1"/>
  <c r="K5164" i="4"/>
  <c r="J5164" i="4"/>
  <c r="H5164" i="4"/>
  <c r="I5164" i="4" s="1"/>
  <c r="K5163" i="4"/>
  <c r="J5163" i="4"/>
  <c r="H5163" i="4"/>
  <c r="I5163" i="4" s="1"/>
  <c r="K5162" i="4"/>
  <c r="J5162" i="4"/>
  <c r="H5162" i="4"/>
  <c r="I5162" i="4" s="1"/>
  <c r="K5161" i="4"/>
  <c r="J5161" i="4"/>
  <c r="H5161" i="4"/>
  <c r="I5161" i="4" s="1"/>
  <c r="K5160" i="4"/>
  <c r="J5160" i="4"/>
  <c r="H5160" i="4"/>
  <c r="I5160" i="4" s="1"/>
  <c r="K5159" i="4"/>
  <c r="J5159" i="4"/>
  <c r="H5159" i="4"/>
  <c r="I5159" i="4" s="1"/>
  <c r="K5158" i="4"/>
  <c r="J5158" i="4"/>
  <c r="H5158" i="4"/>
  <c r="I5158" i="4" s="1"/>
  <c r="K5157" i="4"/>
  <c r="J5157" i="4"/>
  <c r="H5157" i="4"/>
  <c r="I5157" i="4" s="1"/>
  <c r="K5156" i="4"/>
  <c r="J5156" i="4"/>
  <c r="H5156" i="4"/>
  <c r="I5156" i="4" s="1"/>
  <c r="K5155" i="4"/>
  <c r="J5155" i="4"/>
  <c r="H5155" i="4"/>
  <c r="I5155" i="4" s="1"/>
  <c r="K5154" i="4"/>
  <c r="J5154" i="4"/>
  <c r="H5154" i="4"/>
  <c r="I5154" i="4" s="1"/>
  <c r="K5153" i="4"/>
  <c r="J5153" i="4"/>
  <c r="H5153" i="4"/>
  <c r="I5153" i="4" s="1"/>
  <c r="K5152" i="4"/>
  <c r="J5152" i="4"/>
  <c r="H5152" i="4"/>
  <c r="I5152" i="4" s="1"/>
  <c r="K5151" i="4"/>
  <c r="J5151" i="4"/>
  <c r="H5151" i="4"/>
  <c r="I5151" i="4" s="1"/>
  <c r="K5150" i="4"/>
  <c r="J5150" i="4"/>
  <c r="H5150" i="4"/>
  <c r="I5150" i="4" s="1"/>
  <c r="K5149" i="4"/>
  <c r="J5149" i="4"/>
  <c r="H5149" i="4"/>
  <c r="I5149" i="4" s="1"/>
  <c r="K5148" i="4"/>
  <c r="J5148" i="4"/>
  <c r="H5148" i="4"/>
  <c r="I5148" i="4" s="1"/>
  <c r="K5147" i="4"/>
  <c r="J5147" i="4"/>
  <c r="H5147" i="4"/>
  <c r="I5147" i="4" s="1"/>
  <c r="K5146" i="4"/>
  <c r="J5146" i="4"/>
  <c r="H5146" i="4"/>
  <c r="I5146" i="4" s="1"/>
  <c r="K5145" i="4"/>
  <c r="J5145" i="4"/>
  <c r="H5145" i="4"/>
  <c r="I5145" i="4" s="1"/>
  <c r="K5144" i="4"/>
  <c r="J5144" i="4"/>
  <c r="H5144" i="4"/>
  <c r="I5144" i="4" s="1"/>
  <c r="K5143" i="4"/>
  <c r="J5143" i="4"/>
  <c r="H5143" i="4"/>
  <c r="I5143" i="4" s="1"/>
  <c r="K5142" i="4"/>
  <c r="J5142" i="4"/>
  <c r="H5142" i="4"/>
  <c r="I5142" i="4" s="1"/>
  <c r="K5141" i="4"/>
  <c r="J5141" i="4"/>
  <c r="H5141" i="4"/>
  <c r="I5141" i="4" s="1"/>
  <c r="K5140" i="4"/>
  <c r="J5140" i="4"/>
  <c r="H5140" i="4"/>
  <c r="I5140" i="4" s="1"/>
  <c r="K5139" i="4"/>
  <c r="J5139" i="4"/>
  <c r="H5139" i="4"/>
  <c r="I5139" i="4" s="1"/>
  <c r="K5138" i="4"/>
  <c r="J5138" i="4"/>
  <c r="H5138" i="4"/>
  <c r="I5138" i="4" s="1"/>
  <c r="K5137" i="4"/>
  <c r="J5137" i="4"/>
  <c r="H5137" i="4"/>
  <c r="I5137" i="4" s="1"/>
  <c r="K5136" i="4"/>
  <c r="J5136" i="4"/>
  <c r="H5136" i="4"/>
  <c r="I5136" i="4" s="1"/>
  <c r="K5135" i="4"/>
  <c r="J5135" i="4"/>
  <c r="H5135" i="4"/>
  <c r="I5135" i="4" s="1"/>
  <c r="K5134" i="4"/>
  <c r="J5134" i="4"/>
  <c r="H5134" i="4"/>
  <c r="I5134" i="4" s="1"/>
  <c r="K5133" i="4"/>
  <c r="J5133" i="4"/>
  <c r="H5133" i="4"/>
  <c r="I5133" i="4" s="1"/>
  <c r="K5132" i="4"/>
  <c r="J5132" i="4"/>
  <c r="H5132" i="4"/>
  <c r="I5132" i="4" s="1"/>
  <c r="K5131" i="4"/>
  <c r="J5131" i="4"/>
  <c r="H5131" i="4"/>
  <c r="I5131" i="4" s="1"/>
  <c r="K5130" i="4"/>
  <c r="J5130" i="4"/>
  <c r="H5130" i="4"/>
  <c r="I5130" i="4" s="1"/>
  <c r="K5129" i="4"/>
  <c r="J5129" i="4"/>
  <c r="H5129" i="4"/>
  <c r="I5129" i="4" s="1"/>
  <c r="K5128" i="4"/>
  <c r="J5128" i="4"/>
  <c r="H5128" i="4"/>
  <c r="I5128" i="4" s="1"/>
  <c r="K5127" i="4"/>
  <c r="J5127" i="4"/>
  <c r="H5127" i="4"/>
  <c r="I5127" i="4" s="1"/>
  <c r="K5126" i="4"/>
  <c r="J5126" i="4"/>
  <c r="H5126" i="4"/>
  <c r="I5126" i="4" s="1"/>
  <c r="K5125" i="4"/>
  <c r="J5125" i="4"/>
  <c r="H5125" i="4"/>
  <c r="I5125" i="4" s="1"/>
  <c r="K5124" i="4"/>
  <c r="J5124" i="4"/>
  <c r="H5124" i="4"/>
  <c r="I5124" i="4" s="1"/>
  <c r="K5123" i="4"/>
  <c r="J5123" i="4"/>
  <c r="H5123" i="4"/>
  <c r="I5123" i="4" s="1"/>
  <c r="K5122" i="4"/>
  <c r="J5122" i="4"/>
  <c r="H5122" i="4"/>
  <c r="I5122" i="4" s="1"/>
  <c r="K5121" i="4"/>
  <c r="J5121" i="4"/>
  <c r="H5121" i="4"/>
  <c r="I5121" i="4" s="1"/>
  <c r="K5120" i="4"/>
  <c r="J5120" i="4"/>
  <c r="H5120" i="4"/>
  <c r="I5120" i="4" s="1"/>
  <c r="K5119" i="4"/>
  <c r="J5119" i="4"/>
  <c r="H5119" i="4"/>
  <c r="I5119" i="4" s="1"/>
  <c r="K5118" i="4"/>
  <c r="J5118" i="4"/>
  <c r="H5118" i="4"/>
  <c r="I5118" i="4" s="1"/>
  <c r="K5117" i="4"/>
  <c r="J5117" i="4"/>
  <c r="H5117" i="4"/>
  <c r="I5117" i="4" s="1"/>
  <c r="K5116" i="4"/>
  <c r="J5116" i="4"/>
  <c r="H5116" i="4"/>
  <c r="I5116" i="4" s="1"/>
  <c r="K5115" i="4"/>
  <c r="J5115" i="4"/>
  <c r="H5115" i="4"/>
  <c r="I5115" i="4" s="1"/>
  <c r="K5114" i="4"/>
  <c r="J5114" i="4"/>
  <c r="H5114" i="4"/>
  <c r="I5114" i="4" s="1"/>
  <c r="K5113" i="4"/>
  <c r="J5113" i="4"/>
  <c r="H5113" i="4"/>
  <c r="I5113" i="4" s="1"/>
  <c r="K5112" i="4"/>
  <c r="J5112" i="4"/>
  <c r="H5112" i="4"/>
  <c r="I5112" i="4" s="1"/>
  <c r="K5111" i="4"/>
  <c r="J5111" i="4"/>
  <c r="H5111" i="4"/>
  <c r="I5111" i="4" s="1"/>
  <c r="K5110" i="4"/>
  <c r="J5110" i="4"/>
  <c r="H5110" i="4"/>
  <c r="I5110" i="4" s="1"/>
  <c r="K5109" i="4"/>
  <c r="J5109" i="4"/>
  <c r="H5109" i="4"/>
  <c r="I5109" i="4" s="1"/>
  <c r="K5108" i="4"/>
  <c r="J5108" i="4"/>
  <c r="H5108" i="4"/>
  <c r="I5108" i="4" s="1"/>
  <c r="K5107" i="4"/>
  <c r="J5107" i="4"/>
  <c r="H5107" i="4"/>
  <c r="I5107" i="4" s="1"/>
  <c r="K5106" i="4"/>
  <c r="J5106" i="4"/>
  <c r="H5106" i="4"/>
  <c r="I5106" i="4" s="1"/>
  <c r="K5105" i="4"/>
  <c r="J5105" i="4"/>
  <c r="H5105" i="4"/>
  <c r="I5105" i="4" s="1"/>
  <c r="K5104" i="4"/>
  <c r="J5104" i="4"/>
  <c r="H5104" i="4"/>
  <c r="I5104" i="4" s="1"/>
  <c r="K5103" i="4"/>
  <c r="J5103" i="4"/>
  <c r="H5103" i="4"/>
  <c r="I5103" i="4" s="1"/>
  <c r="K5102" i="4"/>
  <c r="J5102" i="4"/>
  <c r="H5102" i="4"/>
  <c r="I5102" i="4" s="1"/>
  <c r="K5101" i="4"/>
  <c r="J5101" i="4"/>
  <c r="H5101" i="4"/>
  <c r="I5101" i="4" s="1"/>
  <c r="K5100" i="4"/>
  <c r="J5100" i="4"/>
  <c r="H5100" i="4"/>
  <c r="I5100" i="4" s="1"/>
  <c r="K5099" i="4"/>
  <c r="J5099" i="4"/>
  <c r="H5099" i="4"/>
  <c r="I5099" i="4" s="1"/>
  <c r="K5098" i="4"/>
  <c r="J5098" i="4"/>
  <c r="H5098" i="4"/>
  <c r="I5098" i="4" s="1"/>
  <c r="K5097" i="4"/>
  <c r="J5097" i="4"/>
  <c r="H5097" i="4"/>
  <c r="I5097" i="4" s="1"/>
  <c r="K5096" i="4"/>
  <c r="J5096" i="4"/>
  <c r="H5096" i="4"/>
  <c r="I5096" i="4" s="1"/>
  <c r="K5095" i="4"/>
  <c r="J5095" i="4"/>
  <c r="H5095" i="4"/>
  <c r="I5095" i="4" s="1"/>
  <c r="K5094" i="4"/>
  <c r="J5094" i="4"/>
  <c r="H5094" i="4"/>
  <c r="I5094" i="4" s="1"/>
  <c r="K5093" i="4"/>
  <c r="J5093" i="4"/>
  <c r="H5093" i="4"/>
  <c r="I5093" i="4" s="1"/>
  <c r="K5092" i="4"/>
  <c r="J5092" i="4"/>
  <c r="H5092" i="4"/>
  <c r="I5092" i="4" s="1"/>
  <c r="K5091" i="4"/>
  <c r="J5091" i="4"/>
  <c r="H5091" i="4"/>
  <c r="I5091" i="4" s="1"/>
  <c r="K5090" i="4"/>
  <c r="J5090" i="4"/>
  <c r="H5090" i="4"/>
  <c r="I5090" i="4" s="1"/>
  <c r="K5089" i="4"/>
  <c r="J5089" i="4"/>
  <c r="H5089" i="4"/>
  <c r="I5089" i="4" s="1"/>
  <c r="K5088" i="4"/>
  <c r="J5088" i="4"/>
  <c r="H5088" i="4"/>
  <c r="I5088" i="4" s="1"/>
  <c r="K5087" i="4"/>
  <c r="J5087" i="4"/>
  <c r="H5087" i="4"/>
  <c r="I5087" i="4" s="1"/>
  <c r="K5086" i="4"/>
  <c r="J5086" i="4"/>
  <c r="H5086" i="4"/>
  <c r="I5086" i="4" s="1"/>
  <c r="K5085" i="4"/>
  <c r="J5085" i="4"/>
  <c r="H5085" i="4"/>
  <c r="I5085" i="4" s="1"/>
  <c r="K5084" i="4"/>
  <c r="J5084" i="4"/>
  <c r="H5084" i="4"/>
  <c r="I5084" i="4" s="1"/>
  <c r="K5083" i="4"/>
  <c r="J5083" i="4"/>
  <c r="H5083" i="4"/>
  <c r="I5083" i="4" s="1"/>
  <c r="K5082" i="4"/>
  <c r="J5082" i="4"/>
  <c r="H5082" i="4"/>
  <c r="I5082" i="4" s="1"/>
  <c r="G5079" i="4"/>
  <c r="F5079" i="4"/>
  <c r="K5078" i="4"/>
  <c r="J5078" i="4"/>
  <c r="H5078" i="4"/>
  <c r="I5078" i="4" s="1"/>
  <c r="K5077" i="4"/>
  <c r="J5077" i="4"/>
  <c r="H5077" i="4"/>
  <c r="I5077" i="4" s="1"/>
  <c r="K5076" i="4"/>
  <c r="J5076" i="4"/>
  <c r="H5076" i="4"/>
  <c r="I5076" i="4" s="1"/>
  <c r="K5075" i="4"/>
  <c r="J5075" i="4"/>
  <c r="H5075" i="4"/>
  <c r="I5075" i="4" s="1"/>
  <c r="K5074" i="4"/>
  <c r="J5074" i="4"/>
  <c r="H5074" i="4"/>
  <c r="I5074" i="4" s="1"/>
  <c r="K5073" i="4"/>
  <c r="J5073" i="4"/>
  <c r="H5073" i="4"/>
  <c r="I5073" i="4" s="1"/>
  <c r="K5072" i="4"/>
  <c r="J5072" i="4"/>
  <c r="H5072" i="4"/>
  <c r="I5072" i="4" s="1"/>
  <c r="K5071" i="4"/>
  <c r="J5071" i="4"/>
  <c r="H5071" i="4"/>
  <c r="I5071" i="4" s="1"/>
  <c r="K5070" i="4"/>
  <c r="J5070" i="4"/>
  <c r="H5070" i="4"/>
  <c r="I5070" i="4" s="1"/>
  <c r="K5069" i="4"/>
  <c r="J5069" i="4"/>
  <c r="H5069" i="4"/>
  <c r="I5069" i="4" s="1"/>
  <c r="K5068" i="4"/>
  <c r="J5068" i="4"/>
  <c r="H5068" i="4"/>
  <c r="I5068" i="4" s="1"/>
  <c r="K5067" i="4"/>
  <c r="J5067" i="4"/>
  <c r="H5067" i="4"/>
  <c r="I5067" i="4" s="1"/>
  <c r="K5066" i="4"/>
  <c r="J5066" i="4"/>
  <c r="H5066" i="4"/>
  <c r="I5066" i="4" s="1"/>
  <c r="K5065" i="4"/>
  <c r="J5065" i="4"/>
  <c r="H5065" i="4"/>
  <c r="I5065" i="4" s="1"/>
  <c r="K5064" i="4"/>
  <c r="J5064" i="4"/>
  <c r="H5064" i="4"/>
  <c r="I5064" i="4" s="1"/>
  <c r="K5063" i="4"/>
  <c r="J5063" i="4"/>
  <c r="H5063" i="4"/>
  <c r="I5063" i="4" s="1"/>
  <c r="K5062" i="4"/>
  <c r="J5062" i="4"/>
  <c r="H5062" i="4"/>
  <c r="I5062" i="4" s="1"/>
  <c r="K5061" i="4"/>
  <c r="J5061" i="4"/>
  <c r="H5061" i="4"/>
  <c r="I5061" i="4" s="1"/>
  <c r="K5060" i="4"/>
  <c r="J5060" i="4"/>
  <c r="H5060" i="4"/>
  <c r="I5060" i="4" s="1"/>
  <c r="K5059" i="4"/>
  <c r="J5059" i="4"/>
  <c r="H5059" i="4"/>
  <c r="I5059" i="4" s="1"/>
  <c r="K5058" i="4"/>
  <c r="J5058" i="4"/>
  <c r="H5058" i="4"/>
  <c r="I5058" i="4" s="1"/>
  <c r="K5057" i="4"/>
  <c r="J5057" i="4"/>
  <c r="H5057" i="4"/>
  <c r="I5057" i="4" s="1"/>
  <c r="K5056" i="4"/>
  <c r="J5056" i="4"/>
  <c r="H5056" i="4"/>
  <c r="I5056" i="4" s="1"/>
  <c r="K5055" i="4"/>
  <c r="J5055" i="4"/>
  <c r="H5055" i="4"/>
  <c r="I5055" i="4" s="1"/>
  <c r="K5054" i="4"/>
  <c r="J5054" i="4"/>
  <c r="H5054" i="4"/>
  <c r="I5054" i="4" s="1"/>
  <c r="K5053" i="4"/>
  <c r="J5053" i="4"/>
  <c r="H5053" i="4"/>
  <c r="I5053" i="4" s="1"/>
  <c r="K5052" i="4"/>
  <c r="J5052" i="4"/>
  <c r="H5052" i="4"/>
  <c r="I5052" i="4" s="1"/>
  <c r="K5051" i="4"/>
  <c r="J5051" i="4"/>
  <c r="H5051" i="4"/>
  <c r="I5051" i="4" s="1"/>
  <c r="K5050" i="4"/>
  <c r="J5050" i="4"/>
  <c r="H5050" i="4"/>
  <c r="I5050" i="4" s="1"/>
  <c r="K5049" i="4"/>
  <c r="J5049" i="4"/>
  <c r="H5049" i="4"/>
  <c r="I5049" i="4" s="1"/>
  <c r="K5048" i="4"/>
  <c r="J5048" i="4"/>
  <c r="H5048" i="4"/>
  <c r="I5048" i="4" s="1"/>
  <c r="K5047" i="4"/>
  <c r="J5047" i="4"/>
  <c r="H5047" i="4"/>
  <c r="I5047" i="4" s="1"/>
  <c r="K5046" i="4"/>
  <c r="J5046" i="4"/>
  <c r="H5046" i="4"/>
  <c r="I5046" i="4" s="1"/>
  <c r="K5045" i="4"/>
  <c r="J5045" i="4"/>
  <c r="H5045" i="4"/>
  <c r="I5045" i="4" s="1"/>
  <c r="K5044" i="4"/>
  <c r="J5044" i="4"/>
  <c r="H5044" i="4"/>
  <c r="I5044" i="4" s="1"/>
  <c r="K5043" i="4"/>
  <c r="J5043" i="4"/>
  <c r="H5043" i="4"/>
  <c r="I5043" i="4" s="1"/>
  <c r="K5042" i="4"/>
  <c r="J5042" i="4"/>
  <c r="H5042" i="4"/>
  <c r="I5042" i="4" s="1"/>
  <c r="K5041" i="4"/>
  <c r="J5041" i="4"/>
  <c r="H5041" i="4"/>
  <c r="I5041" i="4" s="1"/>
  <c r="K5040" i="4"/>
  <c r="J5040" i="4"/>
  <c r="H5040" i="4"/>
  <c r="I5040" i="4" s="1"/>
  <c r="K5039" i="4"/>
  <c r="J5039" i="4"/>
  <c r="H5039" i="4"/>
  <c r="I5039" i="4" s="1"/>
  <c r="K5038" i="4"/>
  <c r="J5038" i="4"/>
  <c r="H5038" i="4"/>
  <c r="I5038" i="4" s="1"/>
  <c r="K5037" i="4"/>
  <c r="J5037" i="4"/>
  <c r="H5037" i="4"/>
  <c r="I5037" i="4" s="1"/>
  <c r="K5036" i="4"/>
  <c r="J5036" i="4"/>
  <c r="H5036" i="4"/>
  <c r="I5036" i="4" s="1"/>
  <c r="K5035" i="4"/>
  <c r="J5035" i="4"/>
  <c r="H5035" i="4"/>
  <c r="I5035" i="4" s="1"/>
  <c r="K5034" i="4"/>
  <c r="J5034" i="4"/>
  <c r="H5034" i="4"/>
  <c r="I5034" i="4" s="1"/>
  <c r="K5033" i="4"/>
  <c r="J5033" i="4"/>
  <c r="H5033" i="4"/>
  <c r="I5033" i="4" s="1"/>
  <c r="K5032" i="4"/>
  <c r="J5032" i="4"/>
  <c r="H5032" i="4"/>
  <c r="I5032" i="4" s="1"/>
  <c r="K5031" i="4"/>
  <c r="J5031" i="4"/>
  <c r="H5031" i="4"/>
  <c r="I5031" i="4" s="1"/>
  <c r="K5030" i="4"/>
  <c r="J5030" i="4"/>
  <c r="H5030" i="4"/>
  <c r="I5030" i="4" s="1"/>
  <c r="K5029" i="4"/>
  <c r="J5029" i="4"/>
  <c r="H5029" i="4"/>
  <c r="I5029" i="4" s="1"/>
  <c r="K5028" i="4"/>
  <c r="J5028" i="4"/>
  <c r="H5028" i="4"/>
  <c r="I5028" i="4" s="1"/>
  <c r="K5027" i="4"/>
  <c r="J5027" i="4"/>
  <c r="H5027" i="4"/>
  <c r="I5027" i="4" s="1"/>
  <c r="K5026" i="4"/>
  <c r="J5026" i="4"/>
  <c r="H5026" i="4"/>
  <c r="I5026" i="4" s="1"/>
  <c r="K5025" i="4"/>
  <c r="J5025" i="4"/>
  <c r="H5025" i="4"/>
  <c r="I5025" i="4" s="1"/>
  <c r="K5024" i="4"/>
  <c r="J5024" i="4"/>
  <c r="H5024" i="4"/>
  <c r="I5024" i="4" s="1"/>
  <c r="K5023" i="4"/>
  <c r="J5023" i="4"/>
  <c r="H5023" i="4"/>
  <c r="I5023" i="4" s="1"/>
  <c r="K5022" i="4"/>
  <c r="J5022" i="4"/>
  <c r="H5022" i="4"/>
  <c r="I5022" i="4" s="1"/>
  <c r="K5021" i="4"/>
  <c r="J5021" i="4"/>
  <c r="H5021" i="4"/>
  <c r="I5021" i="4" s="1"/>
  <c r="K5020" i="4"/>
  <c r="J5020" i="4"/>
  <c r="H5020" i="4"/>
  <c r="I5020" i="4" s="1"/>
  <c r="K5019" i="4"/>
  <c r="J5019" i="4"/>
  <c r="H5019" i="4"/>
  <c r="I5019" i="4" s="1"/>
  <c r="K5018" i="4"/>
  <c r="J5018" i="4"/>
  <c r="H5018" i="4"/>
  <c r="I5018" i="4" s="1"/>
  <c r="K5017" i="4"/>
  <c r="J5017" i="4"/>
  <c r="H5017" i="4"/>
  <c r="I5017" i="4" s="1"/>
  <c r="K5016" i="4"/>
  <c r="J5016" i="4"/>
  <c r="H5016" i="4"/>
  <c r="I5016" i="4" s="1"/>
  <c r="K5015" i="4"/>
  <c r="J5015" i="4"/>
  <c r="H5015" i="4"/>
  <c r="I5015" i="4" s="1"/>
  <c r="K5014" i="4"/>
  <c r="J5014" i="4"/>
  <c r="H5014" i="4"/>
  <c r="I5014" i="4" s="1"/>
  <c r="K5013" i="4"/>
  <c r="J5013" i="4"/>
  <c r="H5013" i="4"/>
  <c r="I5013" i="4" s="1"/>
  <c r="K5012" i="4"/>
  <c r="J5012" i="4"/>
  <c r="H5012" i="4"/>
  <c r="I5012" i="4" s="1"/>
  <c r="K5011" i="4"/>
  <c r="J5011" i="4"/>
  <c r="H5011" i="4"/>
  <c r="I5011" i="4" s="1"/>
  <c r="K5010" i="4"/>
  <c r="J5010" i="4"/>
  <c r="H5010" i="4"/>
  <c r="I5010" i="4" s="1"/>
  <c r="K5009" i="4"/>
  <c r="J5009" i="4"/>
  <c r="H5009" i="4"/>
  <c r="I5009" i="4" s="1"/>
  <c r="K5008" i="4"/>
  <c r="J5008" i="4"/>
  <c r="H5008" i="4"/>
  <c r="I5008" i="4" s="1"/>
  <c r="K5007" i="4"/>
  <c r="J5007" i="4"/>
  <c r="H5007" i="4"/>
  <c r="I5007" i="4" s="1"/>
  <c r="K5006" i="4"/>
  <c r="J5006" i="4"/>
  <c r="H5006" i="4"/>
  <c r="I5006" i="4" s="1"/>
  <c r="K5005" i="4"/>
  <c r="J5005" i="4"/>
  <c r="H5005" i="4"/>
  <c r="I5005" i="4" s="1"/>
  <c r="K5004" i="4"/>
  <c r="J5004" i="4"/>
  <c r="H5004" i="4"/>
  <c r="I5004" i="4" s="1"/>
  <c r="K5003" i="4"/>
  <c r="J5003" i="4"/>
  <c r="H5003" i="4"/>
  <c r="I5003" i="4" s="1"/>
  <c r="K5002" i="4"/>
  <c r="J5002" i="4"/>
  <c r="H5002" i="4"/>
  <c r="I5002" i="4" s="1"/>
  <c r="K5001" i="4"/>
  <c r="J5001" i="4"/>
  <c r="H5001" i="4"/>
  <c r="I5001" i="4" s="1"/>
  <c r="K5000" i="4"/>
  <c r="J5000" i="4"/>
  <c r="H5000" i="4"/>
  <c r="I5000" i="4" s="1"/>
  <c r="K4999" i="4"/>
  <c r="J4999" i="4"/>
  <c r="H4999" i="4"/>
  <c r="I4999" i="4" s="1"/>
  <c r="K4998" i="4"/>
  <c r="J4998" i="4"/>
  <c r="H4998" i="4"/>
  <c r="I4998" i="4" s="1"/>
  <c r="K4997" i="4"/>
  <c r="J4997" i="4"/>
  <c r="H4997" i="4"/>
  <c r="I4997" i="4" s="1"/>
  <c r="K4996" i="4"/>
  <c r="J4996" i="4"/>
  <c r="H4996" i="4"/>
  <c r="I4996" i="4" s="1"/>
  <c r="K4995" i="4"/>
  <c r="J4995" i="4"/>
  <c r="H4995" i="4"/>
  <c r="I4995" i="4" s="1"/>
  <c r="K4994" i="4"/>
  <c r="J4994" i="4"/>
  <c r="H4994" i="4"/>
  <c r="I4994" i="4" s="1"/>
  <c r="K4993" i="4"/>
  <c r="J4993" i="4"/>
  <c r="H4993" i="4"/>
  <c r="I4993" i="4" s="1"/>
  <c r="K4992" i="4"/>
  <c r="J4992" i="4"/>
  <c r="H4992" i="4"/>
  <c r="I4992" i="4" s="1"/>
  <c r="K4991" i="4"/>
  <c r="J4991" i="4"/>
  <c r="H4991" i="4"/>
  <c r="I4991" i="4" s="1"/>
  <c r="K4990" i="4"/>
  <c r="J4990" i="4"/>
  <c r="H4990" i="4"/>
  <c r="I4990" i="4" s="1"/>
  <c r="K4989" i="4"/>
  <c r="J4989" i="4"/>
  <c r="H4989" i="4"/>
  <c r="I4989" i="4" s="1"/>
  <c r="K4988" i="4"/>
  <c r="J4988" i="4"/>
  <c r="H4988" i="4"/>
  <c r="I4988" i="4" s="1"/>
  <c r="K4987" i="4"/>
  <c r="J4987" i="4"/>
  <c r="H4987" i="4"/>
  <c r="I4987" i="4" s="1"/>
  <c r="K4986" i="4"/>
  <c r="J4986" i="4"/>
  <c r="H4986" i="4"/>
  <c r="I4986" i="4" s="1"/>
  <c r="K4985" i="4"/>
  <c r="J4985" i="4"/>
  <c r="H4985" i="4"/>
  <c r="I4985" i="4" s="1"/>
  <c r="K4984" i="4"/>
  <c r="J4984" i="4"/>
  <c r="H4984" i="4"/>
  <c r="I4984" i="4" s="1"/>
  <c r="K4983" i="4"/>
  <c r="J4983" i="4"/>
  <c r="H4983" i="4"/>
  <c r="I4983" i="4" s="1"/>
  <c r="K4982" i="4"/>
  <c r="J4982" i="4"/>
  <c r="H4982" i="4"/>
  <c r="I4982" i="4" s="1"/>
  <c r="K4981" i="4"/>
  <c r="J4981" i="4"/>
  <c r="H4981" i="4"/>
  <c r="I4981" i="4" s="1"/>
  <c r="K4980" i="4"/>
  <c r="J4980" i="4"/>
  <c r="H4980" i="4"/>
  <c r="I4980" i="4" s="1"/>
  <c r="K4979" i="4"/>
  <c r="J4979" i="4"/>
  <c r="H4979" i="4"/>
  <c r="I4979" i="4" s="1"/>
  <c r="K4978" i="4"/>
  <c r="J4978" i="4"/>
  <c r="H4978" i="4"/>
  <c r="I4978" i="4" s="1"/>
  <c r="K4977" i="4"/>
  <c r="J4977" i="4"/>
  <c r="H4977" i="4"/>
  <c r="I4977" i="4" s="1"/>
  <c r="K4976" i="4"/>
  <c r="J4976" i="4"/>
  <c r="H4976" i="4"/>
  <c r="I4976" i="4" s="1"/>
  <c r="K4975" i="4"/>
  <c r="J4975" i="4"/>
  <c r="H4975" i="4"/>
  <c r="I4975" i="4" s="1"/>
  <c r="K4974" i="4"/>
  <c r="J4974" i="4"/>
  <c r="H4974" i="4"/>
  <c r="I4974" i="4" s="1"/>
  <c r="K4973" i="4"/>
  <c r="J4973" i="4"/>
  <c r="H4973" i="4"/>
  <c r="I4973" i="4" s="1"/>
  <c r="K4972" i="4"/>
  <c r="J4972" i="4"/>
  <c r="H4972" i="4"/>
  <c r="I4972" i="4" s="1"/>
  <c r="K4971" i="4"/>
  <c r="J4971" i="4"/>
  <c r="H4971" i="4"/>
  <c r="I4971" i="4" s="1"/>
  <c r="K4970" i="4"/>
  <c r="J4970" i="4"/>
  <c r="H4970" i="4"/>
  <c r="I4970" i="4" s="1"/>
  <c r="K4969" i="4"/>
  <c r="J4969" i="4"/>
  <c r="H4969" i="4"/>
  <c r="I4969" i="4" s="1"/>
  <c r="K4968" i="4"/>
  <c r="J4968" i="4"/>
  <c r="H4968" i="4"/>
  <c r="I4968" i="4" s="1"/>
  <c r="K4967" i="4"/>
  <c r="J4967" i="4"/>
  <c r="H4967" i="4"/>
  <c r="I4967" i="4" s="1"/>
  <c r="K4966" i="4"/>
  <c r="J4966" i="4"/>
  <c r="H4966" i="4"/>
  <c r="I4966" i="4" s="1"/>
  <c r="K4965" i="4"/>
  <c r="J4965" i="4"/>
  <c r="H4965" i="4"/>
  <c r="I4965" i="4" s="1"/>
  <c r="K4964" i="4"/>
  <c r="J4964" i="4"/>
  <c r="H4964" i="4"/>
  <c r="I4964" i="4" s="1"/>
  <c r="K4963" i="4"/>
  <c r="J4963" i="4"/>
  <c r="H4963" i="4"/>
  <c r="I4963" i="4" s="1"/>
  <c r="K4962" i="4"/>
  <c r="J4962" i="4"/>
  <c r="H4962" i="4"/>
  <c r="I4962" i="4" s="1"/>
  <c r="K4961" i="4"/>
  <c r="J4961" i="4"/>
  <c r="H4961" i="4"/>
  <c r="I4961" i="4" s="1"/>
  <c r="K4960" i="4"/>
  <c r="J4960" i="4"/>
  <c r="H4960" i="4"/>
  <c r="I4960" i="4" s="1"/>
  <c r="K4959" i="4"/>
  <c r="J4959" i="4"/>
  <c r="H4959" i="4"/>
  <c r="I4959" i="4" s="1"/>
  <c r="K4958" i="4"/>
  <c r="J4958" i="4"/>
  <c r="H4958" i="4"/>
  <c r="I4958" i="4" s="1"/>
  <c r="K4957" i="4"/>
  <c r="J4957" i="4"/>
  <c r="H4957" i="4"/>
  <c r="I4957" i="4" s="1"/>
  <c r="K4956" i="4"/>
  <c r="J4956" i="4"/>
  <c r="H4956" i="4"/>
  <c r="I4956" i="4" s="1"/>
  <c r="K4955" i="4"/>
  <c r="J4955" i="4"/>
  <c r="H4955" i="4"/>
  <c r="I4955" i="4" s="1"/>
  <c r="K4954" i="4"/>
  <c r="J4954" i="4"/>
  <c r="H4954" i="4"/>
  <c r="I4954" i="4" s="1"/>
  <c r="K4953" i="4"/>
  <c r="J4953" i="4"/>
  <c r="H4953" i="4"/>
  <c r="I4953" i="4" s="1"/>
  <c r="K4952" i="4"/>
  <c r="J4952" i="4"/>
  <c r="H4952" i="4"/>
  <c r="I4952" i="4" s="1"/>
  <c r="K4951" i="4"/>
  <c r="J4951" i="4"/>
  <c r="H4951" i="4"/>
  <c r="I4951" i="4" s="1"/>
  <c r="K4950" i="4"/>
  <c r="J4950" i="4"/>
  <c r="H4950" i="4"/>
  <c r="I4950" i="4" s="1"/>
  <c r="K4949" i="4"/>
  <c r="J4949" i="4"/>
  <c r="H4949" i="4"/>
  <c r="I4949" i="4" s="1"/>
  <c r="K4948" i="4"/>
  <c r="J4948" i="4"/>
  <c r="H4948" i="4"/>
  <c r="I4948" i="4" s="1"/>
  <c r="K4947" i="4"/>
  <c r="J4947" i="4"/>
  <c r="H4947" i="4"/>
  <c r="I4947" i="4" s="1"/>
  <c r="K4946" i="4"/>
  <c r="J4946" i="4"/>
  <c r="H4946" i="4"/>
  <c r="I4946" i="4" s="1"/>
  <c r="K4945" i="4"/>
  <c r="J4945" i="4"/>
  <c r="H4945" i="4"/>
  <c r="I4945" i="4" s="1"/>
  <c r="K4944" i="4"/>
  <c r="J4944" i="4"/>
  <c r="H4944" i="4"/>
  <c r="I4944" i="4" s="1"/>
  <c r="K4943" i="4"/>
  <c r="J4943" i="4"/>
  <c r="H4943" i="4"/>
  <c r="I4943" i="4" s="1"/>
  <c r="K4942" i="4"/>
  <c r="J4942" i="4"/>
  <c r="H4942" i="4"/>
  <c r="I4942" i="4" s="1"/>
  <c r="K4941" i="4"/>
  <c r="J4941" i="4"/>
  <c r="H4941" i="4"/>
  <c r="I4941" i="4" s="1"/>
  <c r="K4940" i="4"/>
  <c r="J4940" i="4"/>
  <c r="H4940" i="4"/>
  <c r="I4940" i="4" s="1"/>
  <c r="K4939" i="4"/>
  <c r="J4939" i="4"/>
  <c r="H4939" i="4"/>
  <c r="I4939" i="4" s="1"/>
  <c r="K4938" i="4"/>
  <c r="J4938" i="4"/>
  <c r="H4938" i="4"/>
  <c r="I4938" i="4" s="1"/>
  <c r="K4937" i="4"/>
  <c r="J4937" i="4"/>
  <c r="H4937" i="4"/>
  <c r="I4937" i="4" s="1"/>
  <c r="K4936" i="4"/>
  <c r="J4936" i="4"/>
  <c r="H4936" i="4"/>
  <c r="I4936" i="4" s="1"/>
  <c r="K4935" i="4"/>
  <c r="J4935" i="4"/>
  <c r="H4935" i="4"/>
  <c r="I4935" i="4" s="1"/>
  <c r="K4934" i="4"/>
  <c r="J4934" i="4"/>
  <c r="H4934" i="4"/>
  <c r="I4934" i="4" s="1"/>
  <c r="K4933" i="4"/>
  <c r="J4933" i="4"/>
  <c r="H4933" i="4"/>
  <c r="I4933" i="4" s="1"/>
  <c r="K4932" i="4"/>
  <c r="J4932" i="4"/>
  <c r="H4932" i="4"/>
  <c r="I4932" i="4" s="1"/>
  <c r="K4931" i="4"/>
  <c r="J4931" i="4"/>
  <c r="H4931" i="4"/>
  <c r="I4931" i="4" s="1"/>
  <c r="K4930" i="4"/>
  <c r="J4930" i="4"/>
  <c r="H4930" i="4"/>
  <c r="I4930" i="4" s="1"/>
  <c r="K4929" i="4"/>
  <c r="J4929" i="4"/>
  <c r="H4929" i="4"/>
  <c r="I4929" i="4" s="1"/>
  <c r="K4928" i="4"/>
  <c r="J4928" i="4"/>
  <c r="H4928" i="4"/>
  <c r="I4928" i="4" s="1"/>
  <c r="K4927" i="4"/>
  <c r="J4927" i="4"/>
  <c r="H4927" i="4"/>
  <c r="I4927" i="4" s="1"/>
  <c r="K4926" i="4"/>
  <c r="J4926" i="4"/>
  <c r="H4926" i="4"/>
  <c r="I4926" i="4" s="1"/>
  <c r="K4925" i="4"/>
  <c r="J4925" i="4"/>
  <c r="H4925" i="4"/>
  <c r="I4925" i="4" s="1"/>
  <c r="K4924" i="4"/>
  <c r="J4924" i="4"/>
  <c r="H4924" i="4"/>
  <c r="I4924" i="4" s="1"/>
  <c r="K4923" i="4"/>
  <c r="J4923" i="4"/>
  <c r="H4923" i="4"/>
  <c r="I4923" i="4" s="1"/>
  <c r="K4922" i="4"/>
  <c r="J4922" i="4"/>
  <c r="H4922" i="4"/>
  <c r="I4922" i="4" s="1"/>
  <c r="K4921" i="4"/>
  <c r="J4921" i="4"/>
  <c r="H4921" i="4"/>
  <c r="I4921" i="4" s="1"/>
  <c r="K4920" i="4"/>
  <c r="J4920" i="4"/>
  <c r="H4920" i="4"/>
  <c r="I4920" i="4" s="1"/>
  <c r="K4919" i="4"/>
  <c r="J4919" i="4"/>
  <c r="H4919" i="4"/>
  <c r="I4919" i="4" s="1"/>
  <c r="K4918" i="4"/>
  <c r="J4918" i="4"/>
  <c r="H4918" i="4"/>
  <c r="I4918" i="4" s="1"/>
  <c r="K4917" i="4"/>
  <c r="J4917" i="4"/>
  <c r="H4917" i="4"/>
  <c r="I4917" i="4" s="1"/>
  <c r="K4916" i="4"/>
  <c r="J4916" i="4"/>
  <c r="H4916" i="4"/>
  <c r="I4916" i="4" s="1"/>
  <c r="K4915" i="4"/>
  <c r="J4915" i="4"/>
  <c r="H4915" i="4"/>
  <c r="I4915" i="4" s="1"/>
  <c r="K4914" i="4"/>
  <c r="J4914" i="4"/>
  <c r="H4914" i="4"/>
  <c r="I4914" i="4" s="1"/>
  <c r="K4913" i="4"/>
  <c r="J4913" i="4"/>
  <c r="H4913" i="4"/>
  <c r="I4913" i="4" s="1"/>
  <c r="K4912" i="4"/>
  <c r="J4912" i="4"/>
  <c r="H4912" i="4"/>
  <c r="I4912" i="4" s="1"/>
  <c r="K4911" i="4"/>
  <c r="J4911" i="4"/>
  <c r="H4911" i="4"/>
  <c r="I4911" i="4" s="1"/>
  <c r="K4910" i="4"/>
  <c r="J4910" i="4"/>
  <c r="H4910" i="4"/>
  <c r="I4910" i="4" s="1"/>
  <c r="K4909" i="4"/>
  <c r="J4909" i="4"/>
  <c r="H4909" i="4"/>
  <c r="I4909" i="4" s="1"/>
  <c r="K4908" i="4"/>
  <c r="J4908" i="4"/>
  <c r="H4908" i="4"/>
  <c r="I4908" i="4" s="1"/>
  <c r="K4907" i="4"/>
  <c r="J4907" i="4"/>
  <c r="H4907" i="4"/>
  <c r="I4907" i="4" s="1"/>
  <c r="K4906" i="4"/>
  <c r="J4906" i="4"/>
  <c r="H4906" i="4"/>
  <c r="I4906" i="4" s="1"/>
  <c r="K4905" i="4"/>
  <c r="J4905" i="4"/>
  <c r="H4905" i="4"/>
  <c r="I4905" i="4" s="1"/>
  <c r="K4904" i="4"/>
  <c r="J4904" i="4"/>
  <c r="H4904" i="4"/>
  <c r="I4904" i="4" s="1"/>
  <c r="K4903" i="4"/>
  <c r="J4903" i="4"/>
  <c r="H4903" i="4"/>
  <c r="I4903" i="4" s="1"/>
  <c r="K4902" i="4"/>
  <c r="J4902" i="4"/>
  <c r="H4902" i="4"/>
  <c r="I4902" i="4" s="1"/>
  <c r="K4901" i="4"/>
  <c r="J4901" i="4"/>
  <c r="H4901" i="4"/>
  <c r="I4901" i="4" s="1"/>
  <c r="K4900" i="4"/>
  <c r="J4900" i="4"/>
  <c r="H4900" i="4"/>
  <c r="I4900" i="4" s="1"/>
  <c r="K4899" i="4"/>
  <c r="J4899" i="4"/>
  <c r="H4899" i="4"/>
  <c r="I4899" i="4" s="1"/>
  <c r="K4898" i="4"/>
  <c r="J4898" i="4"/>
  <c r="H4898" i="4"/>
  <c r="I4898" i="4" s="1"/>
  <c r="K4897" i="4"/>
  <c r="J4897" i="4"/>
  <c r="H4897" i="4"/>
  <c r="I4897" i="4" s="1"/>
  <c r="K4896" i="4"/>
  <c r="J4896" i="4"/>
  <c r="H4896" i="4"/>
  <c r="I4896" i="4" s="1"/>
  <c r="K4895" i="4"/>
  <c r="J4895" i="4"/>
  <c r="H4895" i="4"/>
  <c r="I4895" i="4" s="1"/>
  <c r="G4893" i="4"/>
  <c r="F4893" i="4"/>
  <c r="K4892" i="4"/>
  <c r="J4892" i="4"/>
  <c r="H4892" i="4"/>
  <c r="I4892" i="4" s="1"/>
  <c r="K4891" i="4"/>
  <c r="J4891" i="4"/>
  <c r="H4891" i="4"/>
  <c r="I4891" i="4" s="1"/>
  <c r="K4890" i="4"/>
  <c r="J4890" i="4"/>
  <c r="H4890" i="4"/>
  <c r="I4890" i="4" s="1"/>
  <c r="K4889" i="4"/>
  <c r="J4889" i="4"/>
  <c r="H4889" i="4"/>
  <c r="I4889" i="4" s="1"/>
  <c r="K4888" i="4"/>
  <c r="J4888" i="4"/>
  <c r="H4888" i="4"/>
  <c r="I4888" i="4" s="1"/>
  <c r="K4887" i="4"/>
  <c r="J4887" i="4"/>
  <c r="H4887" i="4"/>
  <c r="I4887" i="4" s="1"/>
  <c r="K4886" i="4"/>
  <c r="J4886" i="4"/>
  <c r="H4886" i="4"/>
  <c r="I4886" i="4" s="1"/>
  <c r="K4885" i="4"/>
  <c r="J4885" i="4"/>
  <c r="H4885" i="4"/>
  <c r="I4885" i="4" s="1"/>
  <c r="K4884" i="4"/>
  <c r="J4884" i="4"/>
  <c r="H4884" i="4"/>
  <c r="I4884" i="4" s="1"/>
  <c r="K4883" i="4"/>
  <c r="J4883" i="4"/>
  <c r="H4883" i="4"/>
  <c r="I4883" i="4" s="1"/>
  <c r="K4882" i="4"/>
  <c r="J4882" i="4"/>
  <c r="H4882" i="4"/>
  <c r="I4882" i="4" s="1"/>
  <c r="K4881" i="4"/>
  <c r="J4881" i="4"/>
  <c r="H4881" i="4"/>
  <c r="I4881" i="4" s="1"/>
  <c r="K4880" i="4"/>
  <c r="J4880" i="4"/>
  <c r="H4880" i="4"/>
  <c r="I4880" i="4" s="1"/>
  <c r="K4879" i="4"/>
  <c r="J4879" i="4"/>
  <c r="H4879" i="4"/>
  <c r="I4879" i="4" s="1"/>
  <c r="K4878" i="4"/>
  <c r="J4878" i="4"/>
  <c r="H4878" i="4"/>
  <c r="I4878" i="4" s="1"/>
  <c r="K4877" i="4"/>
  <c r="J4877" i="4"/>
  <c r="H4877" i="4"/>
  <c r="I4877" i="4" s="1"/>
  <c r="K4876" i="4"/>
  <c r="J4876" i="4"/>
  <c r="H4876" i="4"/>
  <c r="I4876" i="4" s="1"/>
  <c r="K4875" i="4"/>
  <c r="J4875" i="4"/>
  <c r="H4875" i="4"/>
  <c r="I4875" i="4" s="1"/>
  <c r="K4874" i="4"/>
  <c r="J4874" i="4"/>
  <c r="H4874" i="4"/>
  <c r="I4874" i="4" s="1"/>
  <c r="K4873" i="4"/>
  <c r="J4873" i="4"/>
  <c r="H4873" i="4"/>
  <c r="I4873" i="4" s="1"/>
  <c r="K4872" i="4"/>
  <c r="J4872" i="4"/>
  <c r="H4872" i="4"/>
  <c r="I4872" i="4" s="1"/>
  <c r="K4871" i="4"/>
  <c r="J4871" i="4"/>
  <c r="H4871" i="4"/>
  <c r="I4871" i="4" s="1"/>
  <c r="K4870" i="4"/>
  <c r="J4870" i="4"/>
  <c r="H4870" i="4"/>
  <c r="I4870" i="4" s="1"/>
  <c r="K4869" i="4"/>
  <c r="J4869" i="4"/>
  <c r="H4869" i="4"/>
  <c r="I4869" i="4" s="1"/>
  <c r="K4868" i="4"/>
  <c r="J4868" i="4"/>
  <c r="H4868" i="4"/>
  <c r="I4868" i="4" s="1"/>
  <c r="K4867" i="4"/>
  <c r="J4867" i="4"/>
  <c r="H4867" i="4"/>
  <c r="I4867" i="4" s="1"/>
  <c r="K4866" i="4"/>
  <c r="J4866" i="4"/>
  <c r="H4866" i="4"/>
  <c r="I4866" i="4" s="1"/>
  <c r="K4865" i="4"/>
  <c r="J4865" i="4"/>
  <c r="H4865" i="4"/>
  <c r="I4865" i="4" s="1"/>
  <c r="K4864" i="4"/>
  <c r="J4864" i="4"/>
  <c r="H4864" i="4"/>
  <c r="I4864" i="4" s="1"/>
  <c r="K4863" i="4"/>
  <c r="J4863" i="4"/>
  <c r="H4863" i="4"/>
  <c r="I4863" i="4" s="1"/>
  <c r="K4862" i="4"/>
  <c r="J4862" i="4"/>
  <c r="H4862" i="4"/>
  <c r="I4862" i="4" s="1"/>
  <c r="K4861" i="4"/>
  <c r="J4861" i="4"/>
  <c r="H4861" i="4"/>
  <c r="I4861" i="4" s="1"/>
  <c r="K4860" i="4"/>
  <c r="J4860" i="4"/>
  <c r="H4860" i="4"/>
  <c r="I4860" i="4" s="1"/>
  <c r="K4859" i="4"/>
  <c r="J4859" i="4"/>
  <c r="H4859" i="4"/>
  <c r="I4859" i="4" s="1"/>
  <c r="K4858" i="4"/>
  <c r="J4858" i="4"/>
  <c r="H4858" i="4"/>
  <c r="I4858" i="4" s="1"/>
  <c r="K4857" i="4"/>
  <c r="J4857" i="4"/>
  <c r="H4857" i="4"/>
  <c r="I4857" i="4" s="1"/>
  <c r="K4856" i="4"/>
  <c r="J4856" i="4"/>
  <c r="H4856" i="4"/>
  <c r="I4856" i="4" s="1"/>
  <c r="K4855" i="4"/>
  <c r="J4855" i="4"/>
  <c r="H4855" i="4"/>
  <c r="I4855" i="4" s="1"/>
  <c r="K4854" i="4"/>
  <c r="J4854" i="4"/>
  <c r="H4854" i="4"/>
  <c r="I4854" i="4" s="1"/>
  <c r="K4853" i="4"/>
  <c r="J4853" i="4"/>
  <c r="H4853" i="4"/>
  <c r="I4853" i="4" s="1"/>
  <c r="K4852" i="4"/>
  <c r="J4852" i="4"/>
  <c r="H4852" i="4"/>
  <c r="I4852" i="4" s="1"/>
  <c r="K4851" i="4"/>
  <c r="J4851" i="4"/>
  <c r="H4851" i="4"/>
  <c r="I4851" i="4" s="1"/>
  <c r="K4850" i="4"/>
  <c r="J4850" i="4"/>
  <c r="H4850" i="4"/>
  <c r="I4850" i="4" s="1"/>
  <c r="K4849" i="4"/>
  <c r="J4849" i="4"/>
  <c r="H4849" i="4"/>
  <c r="I4849" i="4" s="1"/>
  <c r="K4848" i="4"/>
  <c r="J4848" i="4"/>
  <c r="H4848" i="4"/>
  <c r="I4848" i="4" s="1"/>
  <c r="K4847" i="4"/>
  <c r="J4847" i="4"/>
  <c r="H4847" i="4"/>
  <c r="I4847" i="4" s="1"/>
  <c r="K4846" i="4"/>
  <c r="J4846" i="4"/>
  <c r="H4846" i="4"/>
  <c r="I4846" i="4" s="1"/>
  <c r="K4845" i="4"/>
  <c r="J4845" i="4"/>
  <c r="H4845" i="4"/>
  <c r="I4845" i="4" s="1"/>
  <c r="K4844" i="4"/>
  <c r="J4844" i="4"/>
  <c r="H4844" i="4"/>
  <c r="I4844" i="4" s="1"/>
  <c r="K4843" i="4"/>
  <c r="J4843" i="4"/>
  <c r="H4843" i="4"/>
  <c r="I4843" i="4" s="1"/>
  <c r="K4842" i="4"/>
  <c r="J4842" i="4"/>
  <c r="H4842" i="4"/>
  <c r="I4842" i="4" s="1"/>
  <c r="K4841" i="4"/>
  <c r="J4841" i="4"/>
  <c r="H4841" i="4"/>
  <c r="I4841" i="4" s="1"/>
  <c r="K4840" i="4"/>
  <c r="J4840" i="4"/>
  <c r="H4840" i="4"/>
  <c r="I4840" i="4" s="1"/>
  <c r="K4839" i="4"/>
  <c r="J4839" i="4"/>
  <c r="H4839" i="4"/>
  <c r="I4839" i="4" s="1"/>
  <c r="K4838" i="4"/>
  <c r="J4838" i="4"/>
  <c r="H4838" i="4"/>
  <c r="I4838" i="4" s="1"/>
  <c r="K4837" i="4"/>
  <c r="J4837" i="4"/>
  <c r="H4837" i="4"/>
  <c r="I4837" i="4" s="1"/>
  <c r="K4836" i="4"/>
  <c r="J4836" i="4"/>
  <c r="H4836" i="4"/>
  <c r="I4836" i="4" s="1"/>
  <c r="K4835" i="4"/>
  <c r="J4835" i="4"/>
  <c r="H4835" i="4"/>
  <c r="I4835" i="4" s="1"/>
  <c r="K4834" i="4"/>
  <c r="J4834" i="4"/>
  <c r="H4834" i="4"/>
  <c r="I4834" i="4" s="1"/>
  <c r="K4833" i="4"/>
  <c r="J4833" i="4"/>
  <c r="H4833" i="4"/>
  <c r="I4833" i="4" s="1"/>
  <c r="K4832" i="4"/>
  <c r="J4832" i="4"/>
  <c r="H4832" i="4"/>
  <c r="I4832" i="4" s="1"/>
  <c r="K4831" i="4"/>
  <c r="J4831" i="4"/>
  <c r="H4831" i="4"/>
  <c r="I4831" i="4" s="1"/>
  <c r="K4830" i="4"/>
  <c r="J4830" i="4"/>
  <c r="H4830" i="4"/>
  <c r="I4830" i="4" s="1"/>
  <c r="K4829" i="4"/>
  <c r="J4829" i="4"/>
  <c r="H4829" i="4"/>
  <c r="I4829" i="4" s="1"/>
  <c r="K4828" i="4"/>
  <c r="J4828" i="4"/>
  <c r="H4828" i="4"/>
  <c r="I4828" i="4" s="1"/>
  <c r="K4827" i="4"/>
  <c r="J4827" i="4"/>
  <c r="H4827" i="4"/>
  <c r="I4827" i="4" s="1"/>
  <c r="K4826" i="4"/>
  <c r="J4826" i="4"/>
  <c r="H4826" i="4"/>
  <c r="I4826" i="4" s="1"/>
  <c r="K4825" i="4"/>
  <c r="J4825" i="4"/>
  <c r="H4825" i="4"/>
  <c r="I4825" i="4" s="1"/>
  <c r="K4824" i="4"/>
  <c r="J4824" i="4"/>
  <c r="H4824" i="4"/>
  <c r="I4824" i="4" s="1"/>
  <c r="K4823" i="4"/>
  <c r="J4823" i="4"/>
  <c r="H4823" i="4"/>
  <c r="I4823" i="4" s="1"/>
  <c r="K4822" i="4"/>
  <c r="J4822" i="4"/>
  <c r="H4822" i="4"/>
  <c r="I4822" i="4" s="1"/>
  <c r="K4821" i="4"/>
  <c r="J4821" i="4"/>
  <c r="H4821" i="4"/>
  <c r="I4821" i="4" s="1"/>
  <c r="K4820" i="4"/>
  <c r="J4820" i="4"/>
  <c r="H4820" i="4"/>
  <c r="I4820" i="4" s="1"/>
  <c r="K4819" i="4"/>
  <c r="J4819" i="4"/>
  <c r="H4819" i="4"/>
  <c r="I4819" i="4" s="1"/>
  <c r="K4818" i="4"/>
  <c r="J4818" i="4"/>
  <c r="H4818" i="4"/>
  <c r="I4818" i="4" s="1"/>
  <c r="K4817" i="4"/>
  <c r="J4817" i="4"/>
  <c r="H4817" i="4"/>
  <c r="I4817" i="4" s="1"/>
  <c r="K4816" i="4"/>
  <c r="J4816" i="4"/>
  <c r="H4816" i="4"/>
  <c r="I4816" i="4" s="1"/>
  <c r="K4815" i="4"/>
  <c r="J4815" i="4"/>
  <c r="H4815" i="4"/>
  <c r="I4815" i="4" s="1"/>
  <c r="K4814" i="4"/>
  <c r="J4814" i="4"/>
  <c r="H4814" i="4"/>
  <c r="I4814" i="4" s="1"/>
  <c r="K4813" i="4"/>
  <c r="J4813" i="4"/>
  <c r="H4813" i="4"/>
  <c r="I4813" i="4" s="1"/>
  <c r="K4812" i="4"/>
  <c r="J4812" i="4"/>
  <c r="H4812" i="4"/>
  <c r="I4812" i="4" s="1"/>
  <c r="K4811" i="4"/>
  <c r="J4811" i="4"/>
  <c r="H4811" i="4"/>
  <c r="I4811" i="4" s="1"/>
  <c r="K4810" i="4"/>
  <c r="J4810" i="4"/>
  <c r="H4810" i="4"/>
  <c r="I4810" i="4" s="1"/>
  <c r="K4809" i="4"/>
  <c r="J4809" i="4"/>
  <c r="H4809" i="4"/>
  <c r="I4809" i="4" s="1"/>
  <c r="K4808" i="4"/>
  <c r="J4808" i="4"/>
  <c r="H4808" i="4"/>
  <c r="I4808" i="4" s="1"/>
  <c r="K4807" i="4"/>
  <c r="J4807" i="4"/>
  <c r="H4807" i="4"/>
  <c r="I4807" i="4" s="1"/>
  <c r="K4806" i="4"/>
  <c r="J4806" i="4"/>
  <c r="H4806" i="4"/>
  <c r="I4806" i="4" s="1"/>
  <c r="K4805" i="4"/>
  <c r="J4805" i="4"/>
  <c r="H4805" i="4"/>
  <c r="I4805" i="4" s="1"/>
  <c r="K4804" i="4"/>
  <c r="J4804" i="4"/>
  <c r="H4804" i="4"/>
  <c r="I4804" i="4" s="1"/>
  <c r="K4803" i="4"/>
  <c r="J4803" i="4"/>
  <c r="H4803" i="4"/>
  <c r="I4803" i="4" s="1"/>
  <c r="K4802" i="4"/>
  <c r="J4802" i="4"/>
  <c r="H4802" i="4"/>
  <c r="I4802" i="4" s="1"/>
  <c r="K4801" i="4"/>
  <c r="J4801" i="4"/>
  <c r="H4801" i="4"/>
  <c r="I4801" i="4" s="1"/>
  <c r="K4800" i="4"/>
  <c r="J4800" i="4"/>
  <c r="H4800" i="4"/>
  <c r="I4800" i="4" s="1"/>
  <c r="K4799" i="4"/>
  <c r="J4799" i="4"/>
  <c r="H4799" i="4"/>
  <c r="I4799" i="4" s="1"/>
  <c r="K4798" i="4"/>
  <c r="J4798" i="4"/>
  <c r="H4798" i="4"/>
  <c r="I4798" i="4" s="1"/>
  <c r="K4797" i="4"/>
  <c r="J4797" i="4"/>
  <c r="H4797" i="4"/>
  <c r="I4797" i="4" s="1"/>
  <c r="K4796" i="4"/>
  <c r="J4796" i="4"/>
  <c r="H4796" i="4"/>
  <c r="I4796" i="4" s="1"/>
  <c r="K4795" i="4"/>
  <c r="J4795" i="4"/>
  <c r="H4795" i="4"/>
  <c r="I4795" i="4" s="1"/>
  <c r="K4794" i="4"/>
  <c r="J4794" i="4"/>
  <c r="H4794" i="4"/>
  <c r="I4794" i="4" s="1"/>
  <c r="K4793" i="4"/>
  <c r="J4793" i="4"/>
  <c r="H4793" i="4"/>
  <c r="I4793" i="4" s="1"/>
  <c r="K4792" i="4"/>
  <c r="J4792" i="4"/>
  <c r="H4792" i="4"/>
  <c r="I4792" i="4" s="1"/>
  <c r="K4791" i="4"/>
  <c r="J4791" i="4"/>
  <c r="H4791" i="4"/>
  <c r="I4791" i="4" s="1"/>
  <c r="K4790" i="4"/>
  <c r="J4790" i="4"/>
  <c r="H4790" i="4"/>
  <c r="I4790" i="4" s="1"/>
  <c r="K4789" i="4"/>
  <c r="J4789" i="4"/>
  <c r="H4789" i="4"/>
  <c r="I4789" i="4" s="1"/>
  <c r="K4788" i="4"/>
  <c r="J4788" i="4"/>
  <c r="H4788" i="4"/>
  <c r="I4788" i="4" s="1"/>
  <c r="K4787" i="4"/>
  <c r="J4787" i="4"/>
  <c r="H4787" i="4"/>
  <c r="I4787" i="4" s="1"/>
  <c r="K4786" i="4"/>
  <c r="J4786" i="4"/>
  <c r="H4786" i="4"/>
  <c r="I4786" i="4" s="1"/>
  <c r="K4785" i="4"/>
  <c r="J4785" i="4"/>
  <c r="H4785" i="4"/>
  <c r="I4785" i="4" s="1"/>
  <c r="K4784" i="4"/>
  <c r="J4784" i="4"/>
  <c r="H4784" i="4"/>
  <c r="I4784" i="4" s="1"/>
  <c r="K4783" i="4"/>
  <c r="J4783" i="4"/>
  <c r="H4783" i="4"/>
  <c r="I4783" i="4" s="1"/>
  <c r="K4782" i="4"/>
  <c r="J4782" i="4"/>
  <c r="H4782" i="4"/>
  <c r="I4782" i="4" s="1"/>
  <c r="K4781" i="4"/>
  <c r="J4781" i="4"/>
  <c r="H4781" i="4"/>
  <c r="I4781" i="4" s="1"/>
  <c r="K4780" i="4"/>
  <c r="J4780" i="4"/>
  <c r="H4780" i="4"/>
  <c r="I4780" i="4" s="1"/>
  <c r="K4779" i="4"/>
  <c r="J4779" i="4"/>
  <c r="H4779" i="4"/>
  <c r="I4779" i="4" s="1"/>
  <c r="K4778" i="4"/>
  <c r="J4778" i="4"/>
  <c r="H4778" i="4"/>
  <c r="I4778" i="4" s="1"/>
  <c r="K4777" i="4"/>
  <c r="J4777" i="4"/>
  <c r="H4777" i="4"/>
  <c r="I4777" i="4" s="1"/>
  <c r="K4776" i="4"/>
  <c r="J4776" i="4"/>
  <c r="H4776" i="4"/>
  <c r="I4776" i="4" s="1"/>
  <c r="K4775" i="4"/>
  <c r="J4775" i="4"/>
  <c r="H4775" i="4"/>
  <c r="I4775" i="4" s="1"/>
  <c r="K4774" i="4"/>
  <c r="J4774" i="4"/>
  <c r="H4774" i="4"/>
  <c r="I4774" i="4" s="1"/>
  <c r="K4773" i="4"/>
  <c r="J4773" i="4"/>
  <c r="H4773" i="4"/>
  <c r="I4773" i="4" s="1"/>
  <c r="K4772" i="4"/>
  <c r="J4772" i="4"/>
  <c r="H4772" i="4"/>
  <c r="I4772" i="4" s="1"/>
  <c r="K4771" i="4"/>
  <c r="J4771" i="4"/>
  <c r="H4771" i="4"/>
  <c r="I4771" i="4" s="1"/>
  <c r="K4770" i="4"/>
  <c r="J4770" i="4"/>
  <c r="H4770" i="4"/>
  <c r="I4770" i="4" s="1"/>
  <c r="K4769" i="4"/>
  <c r="J4769" i="4"/>
  <c r="H4769" i="4"/>
  <c r="I4769" i="4" s="1"/>
  <c r="K4768" i="4"/>
  <c r="J4768" i="4"/>
  <c r="H4768" i="4"/>
  <c r="I4768" i="4" s="1"/>
  <c r="K4767" i="4"/>
  <c r="J4767" i="4"/>
  <c r="H4767" i="4"/>
  <c r="I4767" i="4" s="1"/>
  <c r="K4766" i="4"/>
  <c r="J4766" i="4"/>
  <c r="H4766" i="4"/>
  <c r="I4766" i="4" s="1"/>
  <c r="K4765" i="4"/>
  <c r="J4765" i="4"/>
  <c r="H4765" i="4"/>
  <c r="I4765" i="4" s="1"/>
  <c r="K4764" i="4"/>
  <c r="J4764" i="4"/>
  <c r="H4764" i="4"/>
  <c r="I4764" i="4" s="1"/>
  <c r="K4763" i="4"/>
  <c r="J4763" i="4"/>
  <c r="H4763" i="4"/>
  <c r="I4763" i="4" s="1"/>
  <c r="K4762" i="4"/>
  <c r="J4762" i="4"/>
  <c r="H4762" i="4"/>
  <c r="I4762" i="4" s="1"/>
  <c r="K4761" i="4"/>
  <c r="J4761" i="4"/>
  <c r="H4761" i="4"/>
  <c r="I4761" i="4" s="1"/>
  <c r="K4760" i="4"/>
  <c r="J4760" i="4"/>
  <c r="H4760" i="4"/>
  <c r="I4760" i="4" s="1"/>
  <c r="K4759" i="4"/>
  <c r="J4759" i="4"/>
  <c r="H4759" i="4"/>
  <c r="I4759" i="4" s="1"/>
  <c r="K4758" i="4"/>
  <c r="J4758" i="4"/>
  <c r="H4758" i="4"/>
  <c r="I4758" i="4" s="1"/>
  <c r="K4757" i="4"/>
  <c r="J4757" i="4"/>
  <c r="H4757" i="4"/>
  <c r="I4757" i="4" s="1"/>
  <c r="K4756" i="4"/>
  <c r="J4756" i="4"/>
  <c r="H4756" i="4"/>
  <c r="I4756" i="4" s="1"/>
  <c r="K4755" i="4"/>
  <c r="J4755" i="4"/>
  <c r="H4755" i="4"/>
  <c r="I4755" i="4" s="1"/>
  <c r="K4754" i="4"/>
  <c r="J4754" i="4"/>
  <c r="H4754" i="4"/>
  <c r="I4754" i="4" s="1"/>
  <c r="K4753" i="4"/>
  <c r="J4753" i="4"/>
  <c r="H4753" i="4"/>
  <c r="I4753" i="4" s="1"/>
  <c r="K4752" i="4"/>
  <c r="J4752" i="4"/>
  <c r="H4752" i="4"/>
  <c r="I4752" i="4" s="1"/>
  <c r="K4751" i="4"/>
  <c r="J4751" i="4"/>
  <c r="H4751" i="4"/>
  <c r="I4751" i="4" s="1"/>
  <c r="K4750" i="4"/>
  <c r="J4750" i="4"/>
  <c r="H4750" i="4"/>
  <c r="I4750" i="4" s="1"/>
  <c r="K4749" i="4"/>
  <c r="J4749" i="4"/>
  <c r="H4749" i="4"/>
  <c r="I4749" i="4" s="1"/>
  <c r="K4748" i="4"/>
  <c r="J4748" i="4"/>
  <c r="H4748" i="4"/>
  <c r="I4748" i="4" s="1"/>
  <c r="K4747" i="4"/>
  <c r="J4747" i="4"/>
  <c r="H4747" i="4"/>
  <c r="I4747" i="4" s="1"/>
  <c r="K4746" i="4"/>
  <c r="J4746" i="4"/>
  <c r="H4746" i="4"/>
  <c r="I4746" i="4" s="1"/>
  <c r="K4745" i="4"/>
  <c r="J4745" i="4"/>
  <c r="H4745" i="4"/>
  <c r="I4745" i="4" s="1"/>
  <c r="K4744" i="4"/>
  <c r="J4744" i="4"/>
  <c r="H4744" i="4"/>
  <c r="I4744" i="4" s="1"/>
  <c r="K4743" i="4"/>
  <c r="J4743" i="4"/>
  <c r="H4743" i="4"/>
  <c r="I4743" i="4" s="1"/>
  <c r="K4742" i="4"/>
  <c r="J4742" i="4"/>
  <c r="H4742" i="4"/>
  <c r="I4742" i="4" s="1"/>
  <c r="K4741" i="4"/>
  <c r="J4741" i="4"/>
  <c r="H4741" i="4"/>
  <c r="I4741" i="4" s="1"/>
  <c r="K4740" i="4"/>
  <c r="J4740" i="4"/>
  <c r="H4740" i="4"/>
  <c r="I4740" i="4" s="1"/>
  <c r="K4739" i="4"/>
  <c r="J4739" i="4"/>
  <c r="H4739" i="4"/>
  <c r="I4739" i="4" s="1"/>
  <c r="K4738" i="4"/>
  <c r="J4738" i="4"/>
  <c r="H4738" i="4"/>
  <c r="I4738" i="4" s="1"/>
  <c r="K4737" i="4"/>
  <c r="J4737" i="4"/>
  <c r="H4737" i="4"/>
  <c r="I4737" i="4" s="1"/>
  <c r="K4736" i="4"/>
  <c r="J4736" i="4"/>
  <c r="H4736" i="4"/>
  <c r="I4736" i="4" s="1"/>
  <c r="K4735" i="4"/>
  <c r="J4735" i="4"/>
  <c r="H4735" i="4"/>
  <c r="I4735" i="4" s="1"/>
  <c r="K4734" i="4"/>
  <c r="J4734" i="4"/>
  <c r="H4734" i="4"/>
  <c r="I4734" i="4" s="1"/>
  <c r="K4733" i="4"/>
  <c r="J4733" i="4"/>
  <c r="H4733" i="4"/>
  <c r="I4733" i="4" s="1"/>
  <c r="K4732" i="4"/>
  <c r="J4732" i="4"/>
  <c r="H4732" i="4"/>
  <c r="I4732" i="4" s="1"/>
  <c r="K4731" i="4"/>
  <c r="J4731" i="4"/>
  <c r="H4731" i="4"/>
  <c r="I4731" i="4" s="1"/>
  <c r="K4730" i="4"/>
  <c r="J4730" i="4"/>
  <c r="H4730" i="4"/>
  <c r="I4730" i="4" s="1"/>
  <c r="K4729" i="4"/>
  <c r="J4729" i="4"/>
  <c r="H4729" i="4"/>
  <c r="I4729" i="4" s="1"/>
  <c r="K4728" i="4"/>
  <c r="J4728" i="4"/>
  <c r="H4728" i="4"/>
  <c r="I4728" i="4" s="1"/>
  <c r="K4727" i="4"/>
  <c r="J4727" i="4"/>
  <c r="H4727" i="4"/>
  <c r="I4727" i="4" s="1"/>
  <c r="K4726" i="4"/>
  <c r="J4726" i="4"/>
  <c r="H4726" i="4"/>
  <c r="I4726" i="4" s="1"/>
  <c r="K4725" i="4"/>
  <c r="J4725" i="4"/>
  <c r="H4725" i="4"/>
  <c r="I4725" i="4" s="1"/>
  <c r="K4724" i="4"/>
  <c r="J4724" i="4"/>
  <c r="H4724" i="4"/>
  <c r="I4724" i="4" s="1"/>
  <c r="K4723" i="4"/>
  <c r="J4723" i="4"/>
  <c r="H4723" i="4"/>
  <c r="I4723" i="4" s="1"/>
  <c r="K4722" i="4"/>
  <c r="J4722" i="4"/>
  <c r="H4722" i="4"/>
  <c r="I4722" i="4" s="1"/>
  <c r="K4721" i="4"/>
  <c r="J4721" i="4"/>
  <c r="H4721" i="4"/>
  <c r="I4721" i="4" s="1"/>
  <c r="K4720" i="4"/>
  <c r="J4720" i="4"/>
  <c r="H4720" i="4"/>
  <c r="I4720" i="4" s="1"/>
  <c r="K4719" i="4"/>
  <c r="J4719" i="4"/>
  <c r="H4719" i="4"/>
  <c r="I4719" i="4" s="1"/>
  <c r="K4718" i="4"/>
  <c r="J4718" i="4"/>
  <c r="H4718" i="4"/>
  <c r="I4718" i="4" s="1"/>
  <c r="K4717" i="4"/>
  <c r="J4717" i="4"/>
  <c r="H4717" i="4"/>
  <c r="I4717" i="4" s="1"/>
  <c r="K4716" i="4"/>
  <c r="J4716" i="4"/>
  <c r="H4716" i="4"/>
  <c r="I4716" i="4" s="1"/>
  <c r="K4715" i="4"/>
  <c r="J4715" i="4"/>
  <c r="H4715" i="4"/>
  <c r="I4715" i="4" s="1"/>
  <c r="K4714" i="4"/>
  <c r="J4714" i="4"/>
  <c r="H4714" i="4"/>
  <c r="I4714" i="4" s="1"/>
  <c r="K4713" i="4"/>
  <c r="J4713" i="4"/>
  <c r="H4713" i="4"/>
  <c r="I4713" i="4" s="1"/>
  <c r="K4712" i="4"/>
  <c r="J4712" i="4"/>
  <c r="H4712" i="4"/>
  <c r="I4712" i="4" s="1"/>
  <c r="K4711" i="4"/>
  <c r="J4711" i="4"/>
  <c r="H4711" i="4"/>
  <c r="I4711" i="4" s="1"/>
  <c r="K4710" i="4"/>
  <c r="J4710" i="4"/>
  <c r="H4710" i="4"/>
  <c r="I4710" i="4" s="1"/>
  <c r="K4709" i="4"/>
  <c r="J4709" i="4"/>
  <c r="H4709" i="4"/>
  <c r="I4709" i="4" s="1"/>
  <c r="K4708" i="4"/>
  <c r="J4708" i="4"/>
  <c r="H4708" i="4"/>
  <c r="I4708" i="4" s="1"/>
  <c r="K4707" i="4"/>
  <c r="J4707" i="4"/>
  <c r="H4707" i="4"/>
  <c r="I4707" i="4" s="1"/>
  <c r="K4706" i="4"/>
  <c r="J4706" i="4"/>
  <c r="H4706" i="4"/>
  <c r="I4706" i="4" s="1"/>
  <c r="K4705" i="4"/>
  <c r="J4705" i="4"/>
  <c r="H4705" i="4"/>
  <c r="I4705" i="4" s="1"/>
  <c r="K4704" i="4"/>
  <c r="J4704" i="4"/>
  <c r="H4704" i="4"/>
  <c r="I4704" i="4" s="1"/>
  <c r="K4703" i="4"/>
  <c r="J4703" i="4"/>
  <c r="H4703" i="4"/>
  <c r="I4703" i="4" s="1"/>
  <c r="K4702" i="4"/>
  <c r="J4702" i="4"/>
  <c r="H4702" i="4"/>
  <c r="I4702" i="4" s="1"/>
  <c r="K4701" i="4"/>
  <c r="J4701" i="4"/>
  <c r="H4701" i="4"/>
  <c r="I4701" i="4" s="1"/>
  <c r="K4700" i="4"/>
  <c r="J4700" i="4"/>
  <c r="H4700" i="4"/>
  <c r="I4700" i="4" s="1"/>
  <c r="K4699" i="4"/>
  <c r="J4699" i="4"/>
  <c r="H4699" i="4"/>
  <c r="I4699" i="4" s="1"/>
  <c r="K4698" i="4"/>
  <c r="J4698" i="4"/>
  <c r="H4698" i="4"/>
  <c r="I4698" i="4" s="1"/>
  <c r="K4697" i="4"/>
  <c r="J4697" i="4"/>
  <c r="H4697" i="4"/>
  <c r="I4697" i="4" s="1"/>
  <c r="K4696" i="4"/>
  <c r="J4696" i="4"/>
  <c r="H4696" i="4"/>
  <c r="I4696" i="4" s="1"/>
  <c r="K4695" i="4"/>
  <c r="J4695" i="4"/>
  <c r="H4695" i="4"/>
  <c r="I4695" i="4" s="1"/>
  <c r="K4694" i="4"/>
  <c r="J4694" i="4"/>
  <c r="H4694" i="4"/>
  <c r="I4694" i="4" s="1"/>
  <c r="K4693" i="4"/>
  <c r="J4693" i="4"/>
  <c r="H4693" i="4"/>
  <c r="I4693" i="4" s="1"/>
  <c r="K4692" i="4"/>
  <c r="J4692" i="4"/>
  <c r="H4692" i="4"/>
  <c r="I4692" i="4" s="1"/>
  <c r="K4691" i="4"/>
  <c r="J4691" i="4"/>
  <c r="H4691" i="4"/>
  <c r="I4691" i="4" s="1"/>
  <c r="K4690" i="4"/>
  <c r="J4690" i="4"/>
  <c r="H4690" i="4"/>
  <c r="I4690" i="4" s="1"/>
  <c r="K4689" i="4"/>
  <c r="J4689" i="4"/>
  <c r="H4689" i="4"/>
  <c r="I4689" i="4" s="1"/>
  <c r="K4688" i="4"/>
  <c r="J4688" i="4"/>
  <c r="H4688" i="4"/>
  <c r="I4688" i="4" s="1"/>
  <c r="K4687" i="4"/>
  <c r="J4687" i="4"/>
  <c r="H4687" i="4"/>
  <c r="I4687" i="4" s="1"/>
  <c r="K4686" i="4"/>
  <c r="J4686" i="4"/>
  <c r="H4686" i="4"/>
  <c r="I4686" i="4" s="1"/>
  <c r="K4685" i="4"/>
  <c r="J4685" i="4"/>
  <c r="H4685" i="4"/>
  <c r="I4685" i="4" s="1"/>
  <c r="K4684" i="4"/>
  <c r="J4684" i="4"/>
  <c r="H4684" i="4"/>
  <c r="I4684" i="4" s="1"/>
  <c r="K4683" i="4"/>
  <c r="J4683" i="4"/>
  <c r="H4683" i="4"/>
  <c r="I4683" i="4" s="1"/>
  <c r="K4682" i="4"/>
  <c r="J4682" i="4"/>
  <c r="H4682" i="4"/>
  <c r="I4682" i="4" s="1"/>
  <c r="K4681" i="4"/>
  <c r="J4681" i="4"/>
  <c r="H4681" i="4"/>
  <c r="I4681" i="4" s="1"/>
  <c r="K4680" i="4"/>
  <c r="J4680" i="4"/>
  <c r="H4680" i="4"/>
  <c r="I4680" i="4" s="1"/>
  <c r="K4679" i="4"/>
  <c r="J4679" i="4"/>
  <c r="H4679" i="4"/>
  <c r="I4679" i="4" s="1"/>
  <c r="K4678" i="4"/>
  <c r="J4678" i="4"/>
  <c r="H4678" i="4"/>
  <c r="I4678" i="4" s="1"/>
  <c r="K4677" i="4"/>
  <c r="J4677" i="4"/>
  <c r="H4677" i="4"/>
  <c r="I4677" i="4" s="1"/>
  <c r="K4676" i="4"/>
  <c r="J4676" i="4"/>
  <c r="H4676" i="4"/>
  <c r="I4676" i="4" s="1"/>
  <c r="K4675" i="4"/>
  <c r="J4675" i="4"/>
  <c r="H4675" i="4"/>
  <c r="I4675" i="4" s="1"/>
  <c r="K4674" i="4"/>
  <c r="J4674" i="4"/>
  <c r="H4674" i="4"/>
  <c r="I4674" i="4" s="1"/>
  <c r="K4673" i="4"/>
  <c r="J4673" i="4"/>
  <c r="H4673" i="4"/>
  <c r="I4673" i="4" s="1"/>
  <c r="K4672" i="4"/>
  <c r="J4672" i="4"/>
  <c r="H4672" i="4"/>
  <c r="I4672" i="4" s="1"/>
  <c r="K4671" i="4"/>
  <c r="J4671" i="4"/>
  <c r="H4671" i="4"/>
  <c r="I4671" i="4" s="1"/>
  <c r="K4670" i="4"/>
  <c r="J4670" i="4"/>
  <c r="H4670" i="4"/>
  <c r="I4670" i="4" s="1"/>
  <c r="K4669" i="4"/>
  <c r="J4669" i="4"/>
  <c r="H4669" i="4"/>
  <c r="I4669" i="4" s="1"/>
  <c r="K4668" i="4"/>
  <c r="J4668" i="4"/>
  <c r="H4668" i="4"/>
  <c r="I4668" i="4" s="1"/>
  <c r="K4667" i="4"/>
  <c r="J4667" i="4"/>
  <c r="H4667" i="4"/>
  <c r="I4667" i="4" s="1"/>
  <c r="K4666" i="4"/>
  <c r="J4666" i="4"/>
  <c r="H4666" i="4"/>
  <c r="I4666" i="4" s="1"/>
  <c r="K4665" i="4"/>
  <c r="J4665" i="4"/>
  <c r="H4665" i="4"/>
  <c r="I4665" i="4" s="1"/>
  <c r="K4664" i="4"/>
  <c r="J4664" i="4"/>
  <c r="H4664" i="4"/>
  <c r="I4664" i="4" s="1"/>
  <c r="K4663" i="4"/>
  <c r="J4663" i="4"/>
  <c r="H4663" i="4"/>
  <c r="I4663" i="4" s="1"/>
  <c r="K4662" i="4"/>
  <c r="J4662" i="4"/>
  <c r="H4662" i="4"/>
  <c r="I4662" i="4" s="1"/>
  <c r="K4661" i="4"/>
  <c r="J4661" i="4"/>
  <c r="H4661" i="4"/>
  <c r="I4661" i="4" s="1"/>
  <c r="K4660" i="4"/>
  <c r="J4660" i="4"/>
  <c r="H4660" i="4"/>
  <c r="I4660" i="4" s="1"/>
  <c r="K4659" i="4"/>
  <c r="J4659" i="4"/>
  <c r="H4659" i="4"/>
  <c r="I4659" i="4" s="1"/>
  <c r="K4658" i="4"/>
  <c r="J4658" i="4"/>
  <c r="H4658" i="4"/>
  <c r="I4658" i="4" s="1"/>
  <c r="K4657" i="4"/>
  <c r="J4657" i="4"/>
  <c r="H4657" i="4"/>
  <c r="I4657" i="4" s="1"/>
  <c r="K4656" i="4"/>
  <c r="J4656" i="4"/>
  <c r="H4656" i="4"/>
  <c r="I4656" i="4" s="1"/>
  <c r="K4655" i="4"/>
  <c r="J4655" i="4"/>
  <c r="H4655" i="4"/>
  <c r="I4655" i="4" s="1"/>
  <c r="K4654" i="4"/>
  <c r="J4654" i="4"/>
  <c r="H4654" i="4"/>
  <c r="I4654" i="4" s="1"/>
  <c r="K4653" i="4"/>
  <c r="J4653" i="4"/>
  <c r="H4653" i="4"/>
  <c r="I4653" i="4" s="1"/>
  <c r="K4652" i="4"/>
  <c r="J4652" i="4"/>
  <c r="H4652" i="4"/>
  <c r="I4652" i="4" s="1"/>
  <c r="K4651" i="4"/>
  <c r="J4651" i="4"/>
  <c r="H4651" i="4"/>
  <c r="I4651" i="4" s="1"/>
  <c r="K4650" i="4"/>
  <c r="J4650" i="4"/>
  <c r="H4650" i="4"/>
  <c r="I4650" i="4" s="1"/>
  <c r="K4649" i="4"/>
  <c r="J4649" i="4"/>
  <c r="H4649" i="4"/>
  <c r="I4649" i="4" s="1"/>
  <c r="K4648" i="4"/>
  <c r="J4648" i="4"/>
  <c r="H4648" i="4"/>
  <c r="I4648" i="4" s="1"/>
  <c r="K4647" i="4"/>
  <c r="J4647" i="4"/>
  <c r="H4647" i="4"/>
  <c r="I4647" i="4" s="1"/>
  <c r="K4646" i="4"/>
  <c r="J4646" i="4"/>
  <c r="H4646" i="4"/>
  <c r="I4646" i="4" s="1"/>
  <c r="K4645" i="4"/>
  <c r="J4645" i="4"/>
  <c r="H4645" i="4"/>
  <c r="I4645" i="4" s="1"/>
  <c r="K4644" i="4"/>
  <c r="J4644" i="4"/>
  <c r="H4644" i="4"/>
  <c r="I4644" i="4" s="1"/>
  <c r="K4643" i="4"/>
  <c r="J4643" i="4"/>
  <c r="H4643" i="4"/>
  <c r="I4643" i="4" s="1"/>
  <c r="K4642" i="4"/>
  <c r="J4642" i="4"/>
  <c r="H4642" i="4"/>
  <c r="I4642" i="4" s="1"/>
  <c r="K4641" i="4"/>
  <c r="J4641" i="4"/>
  <c r="H4641" i="4"/>
  <c r="I4641" i="4" s="1"/>
  <c r="K4640" i="4"/>
  <c r="J4640" i="4"/>
  <c r="H4640" i="4"/>
  <c r="I4640" i="4" s="1"/>
  <c r="K4639" i="4"/>
  <c r="J4639" i="4"/>
  <c r="H4639" i="4"/>
  <c r="I4639" i="4" s="1"/>
  <c r="K4638" i="4"/>
  <c r="J4638" i="4"/>
  <c r="H4638" i="4"/>
  <c r="I4638" i="4" s="1"/>
  <c r="K4637" i="4"/>
  <c r="J4637" i="4"/>
  <c r="H4637" i="4"/>
  <c r="I4637" i="4" s="1"/>
  <c r="K4636" i="4"/>
  <c r="J4636" i="4"/>
  <c r="H4636" i="4"/>
  <c r="I4636" i="4" s="1"/>
  <c r="K4635" i="4"/>
  <c r="J4635" i="4"/>
  <c r="H4635" i="4"/>
  <c r="I4635" i="4" s="1"/>
  <c r="K4634" i="4"/>
  <c r="J4634" i="4"/>
  <c r="H4634" i="4"/>
  <c r="I4634" i="4" s="1"/>
  <c r="K4633" i="4"/>
  <c r="J4633" i="4"/>
  <c r="H4633" i="4"/>
  <c r="I4633" i="4" s="1"/>
  <c r="K4632" i="4"/>
  <c r="J4632" i="4"/>
  <c r="H4632" i="4"/>
  <c r="I4632" i="4" s="1"/>
  <c r="K4631" i="4"/>
  <c r="J4631" i="4"/>
  <c r="H4631" i="4"/>
  <c r="I4631" i="4" s="1"/>
  <c r="K4630" i="4"/>
  <c r="J4630" i="4"/>
  <c r="H4630" i="4"/>
  <c r="I4630" i="4" s="1"/>
  <c r="K4629" i="4"/>
  <c r="J4629" i="4"/>
  <c r="H4629" i="4"/>
  <c r="I4629" i="4" s="1"/>
  <c r="K4628" i="4"/>
  <c r="J4628" i="4"/>
  <c r="H4628" i="4"/>
  <c r="I4628" i="4" s="1"/>
  <c r="K4627" i="4"/>
  <c r="J4627" i="4"/>
  <c r="H4627" i="4"/>
  <c r="I4627" i="4" s="1"/>
  <c r="K4626" i="4"/>
  <c r="J4626" i="4"/>
  <c r="H4626" i="4"/>
  <c r="I4626" i="4" s="1"/>
  <c r="K4625" i="4"/>
  <c r="J4625" i="4"/>
  <c r="H4625" i="4"/>
  <c r="I4625" i="4" s="1"/>
  <c r="K4624" i="4"/>
  <c r="J4624" i="4"/>
  <c r="H4624" i="4"/>
  <c r="I4624" i="4" s="1"/>
  <c r="K4623" i="4"/>
  <c r="J4623" i="4"/>
  <c r="H4623" i="4"/>
  <c r="I4623" i="4" s="1"/>
  <c r="K4622" i="4"/>
  <c r="J4622" i="4"/>
  <c r="H4622" i="4"/>
  <c r="I4622" i="4" s="1"/>
  <c r="K4621" i="4"/>
  <c r="J4621" i="4"/>
  <c r="H4621" i="4"/>
  <c r="I4621" i="4" s="1"/>
  <c r="K4620" i="4"/>
  <c r="J4620" i="4"/>
  <c r="H4620" i="4"/>
  <c r="I4620" i="4" s="1"/>
  <c r="K4619" i="4"/>
  <c r="J4619" i="4"/>
  <c r="H4619" i="4"/>
  <c r="I4619" i="4" s="1"/>
  <c r="K4618" i="4"/>
  <c r="J4618" i="4"/>
  <c r="H4618" i="4"/>
  <c r="I4618" i="4" s="1"/>
  <c r="K4617" i="4"/>
  <c r="J4617" i="4"/>
  <c r="H4617" i="4"/>
  <c r="I4617" i="4" s="1"/>
  <c r="K4616" i="4"/>
  <c r="J4616" i="4"/>
  <c r="H4616" i="4"/>
  <c r="I4616" i="4" s="1"/>
  <c r="K4615" i="4"/>
  <c r="J4615" i="4"/>
  <c r="H4615" i="4"/>
  <c r="I4615" i="4" s="1"/>
  <c r="K4614" i="4"/>
  <c r="J4614" i="4"/>
  <c r="H4614" i="4"/>
  <c r="I4614" i="4" s="1"/>
  <c r="K4613" i="4"/>
  <c r="J4613" i="4"/>
  <c r="H4613" i="4"/>
  <c r="I4613" i="4" s="1"/>
  <c r="K4612" i="4"/>
  <c r="J4612" i="4"/>
  <c r="H4612" i="4"/>
  <c r="I4612" i="4" s="1"/>
  <c r="K4611" i="4"/>
  <c r="J4611" i="4"/>
  <c r="H4611" i="4"/>
  <c r="I4611" i="4" s="1"/>
  <c r="K4610" i="4"/>
  <c r="J4610" i="4"/>
  <c r="H4610" i="4"/>
  <c r="I4610" i="4" s="1"/>
  <c r="K4609" i="4"/>
  <c r="J4609" i="4"/>
  <c r="H4609" i="4"/>
  <c r="I4609" i="4" s="1"/>
  <c r="K4608" i="4"/>
  <c r="J4608" i="4"/>
  <c r="H4608" i="4"/>
  <c r="I4608" i="4" s="1"/>
  <c r="K4607" i="4"/>
  <c r="J4607" i="4"/>
  <c r="H4607" i="4"/>
  <c r="I4607" i="4" s="1"/>
  <c r="K4606" i="4"/>
  <c r="J4606" i="4"/>
  <c r="H4606" i="4"/>
  <c r="I4606" i="4" s="1"/>
  <c r="K4605" i="4"/>
  <c r="J4605" i="4"/>
  <c r="H4605" i="4"/>
  <c r="I4605" i="4" s="1"/>
  <c r="K4604" i="4"/>
  <c r="J4604" i="4"/>
  <c r="H4604" i="4"/>
  <c r="I4604" i="4" s="1"/>
  <c r="K4603" i="4"/>
  <c r="J4603" i="4"/>
  <c r="H4603" i="4"/>
  <c r="I4603" i="4" s="1"/>
  <c r="K4602" i="4"/>
  <c r="J4602" i="4"/>
  <c r="H4602" i="4"/>
  <c r="I4602" i="4" s="1"/>
  <c r="K4601" i="4"/>
  <c r="J4601" i="4"/>
  <c r="H4601" i="4"/>
  <c r="I4601" i="4" s="1"/>
  <c r="K4600" i="4"/>
  <c r="J4600" i="4"/>
  <c r="H4600" i="4"/>
  <c r="I4600" i="4" s="1"/>
  <c r="K4599" i="4"/>
  <c r="J4599" i="4"/>
  <c r="H4599" i="4"/>
  <c r="I4599" i="4" s="1"/>
  <c r="K4598" i="4"/>
  <c r="J4598" i="4"/>
  <c r="H4598" i="4"/>
  <c r="I4598" i="4" s="1"/>
  <c r="K4597" i="4"/>
  <c r="J4597" i="4"/>
  <c r="H4597" i="4"/>
  <c r="I4597" i="4" s="1"/>
  <c r="K4596" i="4"/>
  <c r="J4596" i="4"/>
  <c r="H4596" i="4"/>
  <c r="I4596" i="4" s="1"/>
  <c r="K4595" i="4"/>
  <c r="J4595" i="4"/>
  <c r="H4595" i="4"/>
  <c r="I4595" i="4" s="1"/>
  <c r="K4594" i="4"/>
  <c r="J4594" i="4"/>
  <c r="H4594" i="4"/>
  <c r="I4594" i="4" s="1"/>
  <c r="K4593" i="4"/>
  <c r="J4593" i="4"/>
  <c r="H4593" i="4"/>
  <c r="I4593" i="4" s="1"/>
  <c r="K4592" i="4"/>
  <c r="J4592" i="4"/>
  <c r="H4592" i="4"/>
  <c r="I4592" i="4" s="1"/>
  <c r="K4591" i="4"/>
  <c r="J4591" i="4"/>
  <c r="H4591" i="4"/>
  <c r="I4591" i="4" s="1"/>
  <c r="K4590" i="4"/>
  <c r="J4590" i="4"/>
  <c r="H4590" i="4"/>
  <c r="I4590" i="4" s="1"/>
  <c r="K4589" i="4"/>
  <c r="J4589" i="4"/>
  <c r="H4589" i="4"/>
  <c r="I4589" i="4" s="1"/>
  <c r="K4588" i="4"/>
  <c r="J4588" i="4"/>
  <c r="H4588" i="4"/>
  <c r="I4588" i="4" s="1"/>
  <c r="K4587" i="4"/>
  <c r="J4587" i="4"/>
  <c r="H4587" i="4"/>
  <c r="I4587" i="4" s="1"/>
  <c r="K4586" i="4"/>
  <c r="J4586" i="4"/>
  <c r="H4586" i="4"/>
  <c r="I4586" i="4" s="1"/>
  <c r="K4585" i="4"/>
  <c r="J4585" i="4"/>
  <c r="H4585" i="4"/>
  <c r="I4585" i="4" s="1"/>
  <c r="K4584" i="4"/>
  <c r="J4584" i="4"/>
  <c r="H4584" i="4"/>
  <c r="I4584" i="4" s="1"/>
  <c r="K4583" i="4"/>
  <c r="J4583" i="4"/>
  <c r="H4583" i="4"/>
  <c r="I4583" i="4" s="1"/>
  <c r="K4582" i="4"/>
  <c r="J4582" i="4"/>
  <c r="H4582" i="4"/>
  <c r="I4582" i="4" s="1"/>
  <c r="K4581" i="4"/>
  <c r="J4581" i="4"/>
  <c r="H4581" i="4"/>
  <c r="I4581" i="4" s="1"/>
  <c r="K4580" i="4"/>
  <c r="J4580" i="4"/>
  <c r="H4580" i="4"/>
  <c r="I4580" i="4" s="1"/>
  <c r="K4579" i="4"/>
  <c r="J4579" i="4"/>
  <c r="H4579" i="4"/>
  <c r="I4579" i="4" s="1"/>
  <c r="K4578" i="4"/>
  <c r="J4578" i="4"/>
  <c r="H4578" i="4"/>
  <c r="I4578" i="4" s="1"/>
  <c r="K4577" i="4"/>
  <c r="J4577" i="4"/>
  <c r="H4577" i="4"/>
  <c r="I4577" i="4" s="1"/>
  <c r="K4576" i="4"/>
  <c r="J4576" i="4"/>
  <c r="H4576" i="4"/>
  <c r="I4576" i="4" s="1"/>
  <c r="K4575" i="4"/>
  <c r="J4575" i="4"/>
  <c r="H4575" i="4"/>
  <c r="I4575" i="4" s="1"/>
  <c r="K4574" i="4"/>
  <c r="J4574" i="4"/>
  <c r="H4574" i="4"/>
  <c r="I4574" i="4" s="1"/>
  <c r="K4573" i="4"/>
  <c r="J4573" i="4"/>
  <c r="H4573" i="4"/>
  <c r="I4573" i="4" s="1"/>
  <c r="K4572" i="4"/>
  <c r="J4572" i="4"/>
  <c r="H4572" i="4"/>
  <c r="I4572" i="4" s="1"/>
  <c r="K4571" i="4"/>
  <c r="J4571" i="4"/>
  <c r="H4571" i="4"/>
  <c r="I4571" i="4" s="1"/>
  <c r="K4570" i="4"/>
  <c r="J4570" i="4"/>
  <c r="H4570" i="4"/>
  <c r="I4570" i="4" s="1"/>
  <c r="K4569" i="4"/>
  <c r="J4569" i="4"/>
  <c r="H4569" i="4"/>
  <c r="I4569" i="4" s="1"/>
  <c r="K4568" i="4"/>
  <c r="J4568" i="4"/>
  <c r="H4568" i="4"/>
  <c r="I4568" i="4" s="1"/>
  <c r="K4567" i="4"/>
  <c r="J4567" i="4"/>
  <c r="H4567" i="4"/>
  <c r="I4567" i="4" s="1"/>
  <c r="K4566" i="4"/>
  <c r="J4566" i="4"/>
  <c r="H4566" i="4"/>
  <c r="I4566" i="4" s="1"/>
  <c r="K4565" i="4"/>
  <c r="J4565" i="4"/>
  <c r="H4565" i="4"/>
  <c r="I4565" i="4" s="1"/>
  <c r="K4564" i="4"/>
  <c r="J4564" i="4"/>
  <c r="H4564" i="4"/>
  <c r="I4564" i="4" s="1"/>
  <c r="K4563" i="4"/>
  <c r="J4563" i="4"/>
  <c r="H4563" i="4"/>
  <c r="I4563" i="4" s="1"/>
  <c r="K4562" i="4"/>
  <c r="J4562" i="4"/>
  <c r="H4562" i="4"/>
  <c r="I4562" i="4" s="1"/>
  <c r="K4561" i="4"/>
  <c r="J4561" i="4"/>
  <c r="H4561" i="4"/>
  <c r="I4561" i="4" s="1"/>
  <c r="K4560" i="4"/>
  <c r="J4560" i="4"/>
  <c r="H4560" i="4"/>
  <c r="I4560" i="4" s="1"/>
  <c r="K4559" i="4"/>
  <c r="J4559" i="4"/>
  <c r="H4559" i="4"/>
  <c r="I4559" i="4" s="1"/>
  <c r="K4558" i="4"/>
  <c r="J4558" i="4"/>
  <c r="H4558" i="4"/>
  <c r="I4558" i="4" s="1"/>
  <c r="K4557" i="4"/>
  <c r="J4557" i="4"/>
  <c r="H4557" i="4"/>
  <c r="I4557" i="4" s="1"/>
  <c r="K4556" i="4"/>
  <c r="J4556" i="4"/>
  <c r="H4556" i="4"/>
  <c r="I4556" i="4" s="1"/>
  <c r="K4555" i="4"/>
  <c r="J4555" i="4"/>
  <c r="H4555" i="4"/>
  <c r="I4555" i="4" s="1"/>
  <c r="K4554" i="4"/>
  <c r="J4554" i="4"/>
  <c r="H4554" i="4"/>
  <c r="I4554" i="4" s="1"/>
  <c r="K4553" i="4"/>
  <c r="J4553" i="4"/>
  <c r="H4553" i="4"/>
  <c r="I4553" i="4" s="1"/>
  <c r="K4552" i="4"/>
  <c r="J4552" i="4"/>
  <c r="H4552" i="4"/>
  <c r="I4552" i="4" s="1"/>
  <c r="K4551" i="4"/>
  <c r="J4551" i="4"/>
  <c r="H4551" i="4"/>
  <c r="I4551" i="4" s="1"/>
  <c r="K4550" i="4"/>
  <c r="J4550" i="4"/>
  <c r="H4550" i="4"/>
  <c r="I4550" i="4" s="1"/>
  <c r="K4549" i="4"/>
  <c r="J4549" i="4"/>
  <c r="H4549" i="4"/>
  <c r="I4549" i="4" s="1"/>
  <c r="K4548" i="4"/>
  <c r="J4548" i="4"/>
  <c r="H4548" i="4"/>
  <c r="I4548" i="4" s="1"/>
  <c r="K4547" i="4"/>
  <c r="J4547" i="4"/>
  <c r="H4547" i="4"/>
  <c r="I4547" i="4" s="1"/>
  <c r="K4546" i="4"/>
  <c r="J4546" i="4"/>
  <c r="H4546" i="4"/>
  <c r="I4546" i="4" s="1"/>
  <c r="K4545" i="4"/>
  <c r="J4545" i="4"/>
  <c r="H4545" i="4"/>
  <c r="I4545" i="4" s="1"/>
  <c r="K4544" i="4"/>
  <c r="J4544" i="4"/>
  <c r="H4544" i="4"/>
  <c r="I4544" i="4" s="1"/>
  <c r="K4543" i="4"/>
  <c r="J4543" i="4"/>
  <c r="H4543" i="4"/>
  <c r="I4543" i="4" s="1"/>
  <c r="K4542" i="4"/>
  <c r="J4542" i="4"/>
  <c r="H4542" i="4"/>
  <c r="I4542" i="4" s="1"/>
  <c r="K4541" i="4"/>
  <c r="J4541" i="4"/>
  <c r="H4541" i="4"/>
  <c r="I4541" i="4" s="1"/>
  <c r="K4540" i="4"/>
  <c r="J4540" i="4"/>
  <c r="H4540" i="4"/>
  <c r="I4540" i="4" s="1"/>
  <c r="K4539" i="4"/>
  <c r="J4539" i="4"/>
  <c r="H4539" i="4"/>
  <c r="I4539" i="4" s="1"/>
  <c r="K4538" i="4"/>
  <c r="J4538" i="4"/>
  <c r="H4538" i="4"/>
  <c r="I4538" i="4" s="1"/>
  <c r="K4537" i="4"/>
  <c r="J4537" i="4"/>
  <c r="H4537" i="4"/>
  <c r="I4537" i="4" s="1"/>
  <c r="K4536" i="4"/>
  <c r="J4536" i="4"/>
  <c r="H4536" i="4"/>
  <c r="I4536" i="4" s="1"/>
  <c r="K4535" i="4"/>
  <c r="J4535" i="4"/>
  <c r="H4535" i="4"/>
  <c r="I4535" i="4" s="1"/>
  <c r="K4534" i="4"/>
  <c r="J4534" i="4"/>
  <c r="H4534" i="4"/>
  <c r="I4534" i="4" s="1"/>
  <c r="K4533" i="4"/>
  <c r="J4533" i="4"/>
  <c r="H4533" i="4"/>
  <c r="I4533" i="4" s="1"/>
  <c r="K4532" i="4"/>
  <c r="J4532" i="4"/>
  <c r="H4532" i="4"/>
  <c r="I4532" i="4" s="1"/>
  <c r="K4531" i="4"/>
  <c r="J4531" i="4"/>
  <c r="H4531" i="4"/>
  <c r="I4531" i="4" s="1"/>
  <c r="K4530" i="4"/>
  <c r="J4530" i="4"/>
  <c r="H4530" i="4"/>
  <c r="I4530" i="4" s="1"/>
  <c r="K4529" i="4"/>
  <c r="J4529" i="4"/>
  <c r="H4529" i="4"/>
  <c r="I4529" i="4" s="1"/>
  <c r="K4528" i="4"/>
  <c r="J4528" i="4"/>
  <c r="H4528" i="4"/>
  <c r="I4528" i="4" s="1"/>
  <c r="K4527" i="4"/>
  <c r="J4527" i="4"/>
  <c r="H4527" i="4"/>
  <c r="I4527" i="4" s="1"/>
  <c r="K4526" i="4"/>
  <c r="J4526" i="4"/>
  <c r="H4526" i="4"/>
  <c r="I4526" i="4" s="1"/>
  <c r="K4525" i="4"/>
  <c r="J4525" i="4"/>
  <c r="H4525" i="4"/>
  <c r="I4525" i="4" s="1"/>
  <c r="K4524" i="4"/>
  <c r="J4524" i="4"/>
  <c r="H4524" i="4"/>
  <c r="I4524" i="4" s="1"/>
  <c r="K4523" i="4"/>
  <c r="J4523" i="4"/>
  <c r="H4523" i="4"/>
  <c r="I4523" i="4" s="1"/>
  <c r="K4522" i="4"/>
  <c r="J4522" i="4"/>
  <c r="H4522" i="4"/>
  <c r="I4522" i="4" s="1"/>
  <c r="K4521" i="4"/>
  <c r="J4521" i="4"/>
  <c r="H4521" i="4"/>
  <c r="I4521" i="4" s="1"/>
  <c r="K4520" i="4"/>
  <c r="J4520" i="4"/>
  <c r="H4520" i="4"/>
  <c r="I4520" i="4" s="1"/>
  <c r="K4519" i="4"/>
  <c r="J4519" i="4"/>
  <c r="H4519" i="4"/>
  <c r="I4519" i="4" s="1"/>
  <c r="K4518" i="4"/>
  <c r="J4518" i="4"/>
  <c r="H4518" i="4"/>
  <c r="I4518" i="4" s="1"/>
  <c r="K4517" i="4"/>
  <c r="J4517" i="4"/>
  <c r="H4517" i="4"/>
  <c r="I4517" i="4" s="1"/>
  <c r="K4516" i="4"/>
  <c r="J4516" i="4"/>
  <c r="H4516" i="4"/>
  <c r="I4516" i="4" s="1"/>
  <c r="K4515" i="4"/>
  <c r="J4515" i="4"/>
  <c r="H4515" i="4"/>
  <c r="I4515" i="4" s="1"/>
  <c r="K4514" i="4"/>
  <c r="J4514" i="4"/>
  <c r="H4514" i="4"/>
  <c r="I4514" i="4" s="1"/>
  <c r="K4513" i="4"/>
  <c r="J4513" i="4"/>
  <c r="H4513" i="4"/>
  <c r="I4513" i="4" s="1"/>
  <c r="K4512" i="4"/>
  <c r="J4512" i="4"/>
  <c r="H4512" i="4"/>
  <c r="I4512" i="4" s="1"/>
  <c r="K4511" i="4"/>
  <c r="J4511" i="4"/>
  <c r="H4511" i="4"/>
  <c r="I4511" i="4" s="1"/>
  <c r="K4510" i="4"/>
  <c r="J4510" i="4"/>
  <c r="H4510" i="4"/>
  <c r="I4510" i="4" s="1"/>
  <c r="K4509" i="4"/>
  <c r="J4509" i="4"/>
  <c r="H4509" i="4"/>
  <c r="I4509" i="4" s="1"/>
  <c r="K4508" i="4"/>
  <c r="J4508" i="4"/>
  <c r="H4508" i="4"/>
  <c r="I4508" i="4" s="1"/>
  <c r="K4507" i="4"/>
  <c r="J4507" i="4"/>
  <c r="H4507" i="4"/>
  <c r="I4507" i="4" s="1"/>
  <c r="K4506" i="4"/>
  <c r="J4506" i="4"/>
  <c r="H4506" i="4"/>
  <c r="I4506" i="4" s="1"/>
  <c r="K4505" i="4"/>
  <c r="J4505" i="4"/>
  <c r="H4505" i="4"/>
  <c r="I4505" i="4" s="1"/>
  <c r="K4504" i="4"/>
  <c r="J4504" i="4"/>
  <c r="H4504" i="4"/>
  <c r="I4504" i="4" s="1"/>
  <c r="K4503" i="4"/>
  <c r="J4503" i="4"/>
  <c r="H4503" i="4"/>
  <c r="I4503" i="4" s="1"/>
  <c r="K4502" i="4"/>
  <c r="J4502" i="4"/>
  <c r="H4502" i="4"/>
  <c r="I4502" i="4" s="1"/>
  <c r="K4501" i="4"/>
  <c r="J4501" i="4"/>
  <c r="H4501" i="4"/>
  <c r="I4501" i="4" s="1"/>
  <c r="K4500" i="4"/>
  <c r="J4500" i="4"/>
  <c r="H4500" i="4"/>
  <c r="I4500" i="4" s="1"/>
  <c r="K4499" i="4"/>
  <c r="J4499" i="4"/>
  <c r="H4499" i="4"/>
  <c r="I4499" i="4" s="1"/>
  <c r="K4498" i="4"/>
  <c r="J4498" i="4"/>
  <c r="H4498" i="4"/>
  <c r="I4498" i="4" s="1"/>
  <c r="K4497" i="4"/>
  <c r="J4497" i="4"/>
  <c r="H4497" i="4"/>
  <c r="I4497" i="4" s="1"/>
  <c r="K4496" i="4"/>
  <c r="J4496" i="4"/>
  <c r="H4496" i="4"/>
  <c r="I4496" i="4" s="1"/>
  <c r="K4495" i="4"/>
  <c r="J4495" i="4"/>
  <c r="H4495" i="4"/>
  <c r="I4495" i="4" s="1"/>
  <c r="K4494" i="4"/>
  <c r="J4494" i="4"/>
  <c r="H4494" i="4"/>
  <c r="I4494" i="4" s="1"/>
  <c r="K4493" i="4"/>
  <c r="J4493" i="4"/>
  <c r="H4493" i="4"/>
  <c r="I4493" i="4" s="1"/>
  <c r="K4492" i="4"/>
  <c r="J4492" i="4"/>
  <c r="H4492" i="4"/>
  <c r="I4492" i="4" s="1"/>
  <c r="K4491" i="4"/>
  <c r="J4491" i="4"/>
  <c r="H4491" i="4"/>
  <c r="I4491" i="4" s="1"/>
  <c r="K4490" i="4"/>
  <c r="J4490" i="4"/>
  <c r="H4490" i="4"/>
  <c r="I4490" i="4" s="1"/>
  <c r="K4489" i="4"/>
  <c r="J4489" i="4"/>
  <c r="H4489" i="4"/>
  <c r="I4489" i="4" s="1"/>
  <c r="K4488" i="4"/>
  <c r="J4488" i="4"/>
  <c r="H4488" i="4"/>
  <c r="I4488" i="4" s="1"/>
  <c r="K4487" i="4"/>
  <c r="J4487" i="4"/>
  <c r="H4487" i="4"/>
  <c r="I4487" i="4" s="1"/>
  <c r="K4486" i="4"/>
  <c r="J4486" i="4"/>
  <c r="H4486" i="4"/>
  <c r="I4486" i="4" s="1"/>
  <c r="K4485" i="4"/>
  <c r="J4485" i="4"/>
  <c r="H4485" i="4"/>
  <c r="I4485" i="4" s="1"/>
  <c r="K4484" i="4"/>
  <c r="J4484" i="4"/>
  <c r="H4484" i="4"/>
  <c r="I4484" i="4" s="1"/>
  <c r="K4483" i="4"/>
  <c r="J4483" i="4"/>
  <c r="H4483" i="4"/>
  <c r="I4483" i="4" s="1"/>
  <c r="K4482" i="4"/>
  <c r="J4482" i="4"/>
  <c r="H4482" i="4"/>
  <c r="I4482" i="4" s="1"/>
  <c r="K4481" i="4"/>
  <c r="J4481" i="4"/>
  <c r="H4481" i="4"/>
  <c r="I4481" i="4" s="1"/>
  <c r="K4480" i="4"/>
  <c r="J4480" i="4"/>
  <c r="H4480" i="4"/>
  <c r="I4480" i="4" s="1"/>
  <c r="K4479" i="4"/>
  <c r="J4479" i="4"/>
  <c r="H4479" i="4"/>
  <c r="I4479" i="4" s="1"/>
  <c r="K4478" i="4"/>
  <c r="J4478" i="4"/>
  <c r="H4478" i="4"/>
  <c r="I4478" i="4" s="1"/>
  <c r="K4477" i="4"/>
  <c r="J4477" i="4"/>
  <c r="H4477" i="4"/>
  <c r="I4477" i="4" s="1"/>
  <c r="K4476" i="4"/>
  <c r="J4476" i="4"/>
  <c r="H4476" i="4"/>
  <c r="I4476" i="4" s="1"/>
  <c r="K4475" i="4"/>
  <c r="J4475" i="4"/>
  <c r="H4475" i="4"/>
  <c r="I4475" i="4" s="1"/>
  <c r="K4474" i="4"/>
  <c r="J4474" i="4"/>
  <c r="H4474" i="4"/>
  <c r="I4474" i="4" s="1"/>
  <c r="K4473" i="4"/>
  <c r="J4473" i="4"/>
  <c r="H4473" i="4"/>
  <c r="I4473" i="4" s="1"/>
  <c r="K4472" i="4"/>
  <c r="J4472" i="4"/>
  <c r="H4472" i="4"/>
  <c r="I4472" i="4" s="1"/>
  <c r="K4471" i="4"/>
  <c r="J4471" i="4"/>
  <c r="H4471" i="4"/>
  <c r="I4471" i="4" s="1"/>
  <c r="K4470" i="4"/>
  <c r="J4470" i="4"/>
  <c r="H4470" i="4"/>
  <c r="I4470" i="4" s="1"/>
  <c r="K4469" i="4"/>
  <c r="J4469" i="4"/>
  <c r="H4469" i="4"/>
  <c r="I4469" i="4" s="1"/>
  <c r="K4468" i="4"/>
  <c r="J4468" i="4"/>
  <c r="H4468" i="4"/>
  <c r="I4468" i="4" s="1"/>
  <c r="K4467" i="4"/>
  <c r="J4467" i="4"/>
  <c r="H4467" i="4"/>
  <c r="I4467" i="4" s="1"/>
  <c r="K4466" i="4"/>
  <c r="J4466" i="4"/>
  <c r="H4466" i="4"/>
  <c r="I4466" i="4" s="1"/>
  <c r="K4465" i="4"/>
  <c r="J4465" i="4"/>
  <c r="H4465" i="4"/>
  <c r="I4465" i="4" s="1"/>
  <c r="K4464" i="4"/>
  <c r="J4464" i="4"/>
  <c r="H4464" i="4"/>
  <c r="I4464" i="4" s="1"/>
  <c r="K4463" i="4"/>
  <c r="J4463" i="4"/>
  <c r="H4463" i="4"/>
  <c r="I4463" i="4" s="1"/>
  <c r="K4462" i="4"/>
  <c r="J4462" i="4"/>
  <c r="H4462" i="4"/>
  <c r="I4462" i="4" s="1"/>
  <c r="K4461" i="4"/>
  <c r="J4461" i="4"/>
  <c r="H4461" i="4"/>
  <c r="I4461" i="4" s="1"/>
  <c r="K4460" i="4"/>
  <c r="J4460" i="4"/>
  <c r="H4460" i="4"/>
  <c r="I4460" i="4" s="1"/>
  <c r="K4459" i="4"/>
  <c r="J4459" i="4"/>
  <c r="H4459" i="4"/>
  <c r="I4459" i="4" s="1"/>
  <c r="K4458" i="4"/>
  <c r="J4458" i="4"/>
  <c r="H4458" i="4"/>
  <c r="I4458" i="4" s="1"/>
  <c r="K4457" i="4"/>
  <c r="J4457" i="4"/>
  <c r="H4457" i="4"/>
  <c r="I4457" i="4" s="1"/>
  <c r="K4456" i="4"/>
  <c r="J4456" i="4"/>
  <c r="H4456" i="4"/>
  <c r="I4456" i="4" s="1"/>
  <c r="K4455" i="4"/>
  <c r="J4455" i="4"/>
  <c r="H4455" i="4"/>
  <c r="I4455" i="4" s="1"/>
  <c r="K4454" i="4"/>
  <c r="J4454" i="4"/>
  <c r="H4454" i="4"/>
  <c r="I4454" i="4" s="1"/>
  <c r="K4453" i="4"/>
  <c r="J4453" i="4"/>
  <c r="H4453" i="4"/>
  <c r="I4453" i="4" s="1"/>
  <c r="K4452" i="4"/>
  <c r="J4452" i="4"/>
  <c r="H4452" i="4"/>
  <c r="I4452" i="4" s="1"/>
  <c r="K4451" i="4"/>
  <c r="J4451" i="4"/>
  <c r="H4451" i="4"/>
  <c r="I4451" i="4" s="1"/>
  <c r="K4450" i="4"/>
  <c r="J4450" i="4"/>
  <c r="H4450" i="4"/>
  <c r="I4450" i="4" s="1"/>
  <c r="K4449" i="4"/>
  <c r="J4449" i="4"/>
  <c r="H4449" i="4"/>
  <c r="I4449" i="4" s="1"/>
  <c r="K4448" i="4"/>
  <c r="J4448" i="4"/>
  <c r="H4448" i="4"/>
  <c r="I4448" i="4" s="1"/>
  <c r="K4447" i="4"/>
  <c r="J4447" i="4"/>
  <c r="H4447" i="4"/>
  <c r="I4447" i="4" s="1"/>
  <c r="K4446" i="4"/>
  <c r="J4446" i="4"/>
  <c r="H4446" i="4"/>
  <c r="I4446" i="4" s="1"/>
  <c r="K4445" i="4"/>
  <c r="J4445" i="4"/>
  <c r="H4445" i="4"/>
  <c r="I4445" i="4" s="1"/>
  <c r="K4444" i="4"/>
  <c r="J4444" i="4"/>
  <c r="H4444" i="4"/>
  <c r="I4444" i="4" s="1"/>
  <c r="K4443" i="4"/>
  <c r="J4443" i="4"/>
  <c r="H4443" i="4"/>
  <c r="I4443" i="4" s="1"/>
  <c r="K4442" i="4"/>
  <c r="J4442" i="4"/>
  <c r="H4442" i="4"/>
  <c r="I4442" i="4" s="1"/>
  <c r="K4441" i="4"/>
  <c r="J4441" i="4"/>
  <c r="H4441" i="4"/>
  <c r="I4441" i="4" s="1"/>
  <c r="K4440" i="4"/>
  <c r="J4440" i="4"/>
  <c r="H4440" i="4"/>
  <c r="I4440" i="4" s="1"/>
  <c r="K4439" i="4"/>
  <c r="J4439" i="4"/>
  <c r="H4439" i="4"/>
  <c r="I4439" i="4" s="1"/>
  <c r="K4438" i="4"/>
  <c r="J4438" i="4"/>
  <c r="H4438" i="4"/>
  <c r="I4438" i="4" s="1"/>
  <c r="K4437" i="4"/>
  <c r="J4437" i="4"/>
  <c r="H4437" i="4"/>
  <c r="I4437" i="4" s="1"/>
  <c r="K4436" i="4"/>
  <c r="J4436" i="4"/>
  <c r="H4436" i="4"/>
  <c r="I4436" i="4" s="1"/>
  <c r="K4435" i="4"/>
  <c r="J4435" i="4"/>
  <c r="H4435" i="4"/>
  <c r="I4435" i="4" s="1"/>
  <c r="K4434" i="4"/>
  <c r="J4434" i="4"/>
  <c r="H4434" i="4"/>
  <c r="I4434" i="4" s="1"/>
  <c r="K4433" i="4"/>
  <c r="J4433" i="4"/>
  <c r="H4433" i="4"/>
  <c r="I4433" i="4" s="1"/>
  <c r="K4432" i="4"/>
  <c r="J4432" i="4"/>
  <c r="H4432" i="4"/>
  <c r="I4432" i="4" s="1"/>
  <c r="K4431" i="4"/>
  <c r="J4431" i="4"/>
  <c r="H4431" i="4"/>
  <c r="I4431" i="4" s="1"/>
  <c r="K4430" i="4"/>
  <c r="J4430" i="4"/>
  <c r="H4430" i="4"/>
  <c r="I4430" i="4" s="1"/>
  <c r="K4429" i="4"/>
  <c r="J4429" i="4"/>
  <c r="H4429" i="4"/>
  <c r="I4429" i="4" s="1"/>
  <c r="K4428" i="4"/>
  <c r="J4428" i="4"/>
  <c r="H4428" i="4"/>
  <c r="I4428" i="4" s="1"/>
  <c r="K4427" i="4"/>
  <c r="J4427" i="4"/>
  <c r="H4427" i="4"/>
  <c r="I4427" i="4" s="1"/>
  <c r="K4426" i="4"/>
  <c r="J4426" i="4"/>
  <c r="H4426" i="4"/>
  <c r="I4426" i="4" s="1"/>
  <c r="K4425" i="4"/>
  <c r="J4425" i="4"/>
  <c r="H4425" i="4"/>
  <c r="I4425" i="4" s="1"/>
  <c r="K4424" i="4"/>
  <c r="J4424" i="4"/>
  <c r="H4424" i="4"/>
  <c r="I4424" i="4" s="1"/>
  <c r="K4423" i="4"/>
  <c r="J4423" i="4"/>
  <c r="H4423" i="4"/>
  <c r="I4423" i="4" s="1"/>
  <c r="K4422" i="4"/>
  <c r="J4422" i="4"/>
  <c r="H4422" i="4"/>
  <c r="I4422" i="4" s="1"/>
  <c r="K4421" i="4"/>
  <c r="J4421" i="4"/>
  <c r="H4421" i="4"/>
  <c r="I4421" i="4" s="1"/>
  <c r="K4420" i="4"/>
  <c r="J4420" i="4"/>
  <c r="H4420" i="4"/>
  <c r="I4420" i="4" s="1"/>
  <c r="K4419" i="4"/>
  <c r="J4419" i="4"/>
  <c r="H4419" i="4"/>
  <c r="I4419" i="4" s="1"/>
  <c r="K4418" i="4"/>
  <c r="J4418" i="4"/>
  <c r="H4418" i="4"/>
  <c r="I4418" i="4" s="1"/>
  <c r="K4417" i="4"/>
  <c r="J4417" i="4"/>
  <c r="H4417" i="4"/>
  <c r="I4417" i="4" s="1"/>
  <c r="K4416" i="4"/>
  <c r="J4416" i="4"/>
  <c r="H4416" i="4"/>
  <c r="I4416" i="4" s="1"/>
  <c r="K4415" i="4"/>
  <c r="J4415" i="4"/>
  <c r="H4415" i="4"/>
  <c r="I4415" i="4" s="1"/>
  <c r="K4414" i="4"/>
  <c r="J4414" i="4"/>
  <c r="H4414" i="4"/>
  <c r="I4414" i="4" s="1"/>
  <c r="K4413" i="4"/>
  <c r="J4413" i="4"/>
  <c r="H4413" i="4"/>
  <c r="I4413" i="4" s="1"/>
  <c r="K4412" i="4"/>
  <c r="J4412" i="4"/>
  <c r="H4412" i="4"/>
  <c r="I4412" i="4" s="1"/>
  <c r="K4411" i="4"/>
  <c r="J4411" i="4"/>
  <c r="H4411" i="4"/>
  <c r="I4411" i="4" s="1"/>
  <c r="K4410" i="4"/>
  <c r="J4410" i="4"/>
  <c r="H4410" i="4"/>
  <c r="I4410" i="4" s="1"/>
  <c r="K4409" i="4"/>
  <c r="J4409" i="4"/>
  <c r="H4409" i="4"/>
  <c r="I4409" i="4" s="1"/>
  <c r="K4408" i="4"/>
  <c r="J4408" i="4"/>
  <c r="H4408" i="4"/>
  <c r="I4408" i="4" s="1"/>
  <c r="K4407" i="4"/>
  <c r="J4407" i="4"/>
  <c r="H4407" i="4"/>
  <c r="I4407" i="4" s="1"/>
  <c r="K4406" i="4"/>
  <c r="J4406" i="4"/>
  <c r="H4406" i="4"/>
  <c r="I4406" i="4" s="1"/>
  <c r="K4405" i="4"/>
  <c r="J4405" i="4"/>
  <c r="H4405" i="4"/>
  <c r="I4405" i="4" s="1"/>
  <c r="K4404" i="4"/>
  <c r="J4404" i="4"/>
  <c r="H4404" i="4"/>
  <c r="I4404" i="4" s="1"/>
  <c r="K4403" i="4"/>
  <c r="J4403" i="4"/>
  <c r="H4403" i="4"/>
  <c r="I4403" i="4" s="1"/>
  <c r="K4402" i="4"/>
  <c r="J4402" i="4"/>
  <c r="H4402" i="4"/>
  <c r="I4402" i="4" s="1"/>
  <c r="K4401" i="4"/>
  <c r="J4401" i="4"/>
  <c r="H4401" i="4"/>
  <c r="I4401" i="4" s="1"/>
  <c r="K4400" i="4"/>
  <c r="J4400" i="4"/>
  <c r="H4400" i="4"/>
  <c r="I4400" i="4" s="1"/>
  <c r="K4399" i="4"/>
  <c r="J4399" i="4"/>
  <c r="H4399" i="4"/>
  <c r="I4399" i="4" s="1"/>
  <c r="K4398" i="4"/>
  <c r="J4398" i="4"/>
  <c r="H4398" i="4"/>
  <c r="I4398" i="4" s="1"/>
  <c r="K4397" i="4"/>
  <c r="J4397" i="4"/>
  <c r="H4397" i="4"/>
  <c r="I4397" i="4" s="1"/>
  <c r="K4396" i="4"/>
  <c r="J4396" i="4"/>
  <c r="H4396" i="4"/>
  <c r="I4396" i="4" s="1"/>
  <c r="K4395" i="4"/>
  <c r="J4395" i="4"/>
  <c r="H4395" i="4"/>
  <c r="I4395" i="4" s="1"/>
  <c r="K4394" i="4"/>
  <c r="J4394" i="4"/>
  <c r="H4394" i="4"/>
  <c r="I4394" i="4" s="1"/>
  <c r="K4393" i="4"/>
  <c r="J4393" i="4"/>
  <c r="H4393" i="4"/>
  <c r="I4393" i="4" s="1"/>
  <c r="K4392" i="4"/>
  <c r="J4392" i="4"/>
  <c r="H4392" i="4"/>
  <c r="I4392" i="4" s="1"/>
  <c r="K4391" i="4"/>
  <c r="J4391" i="4"/>
  <c r="H4391" i="4"/>
  <c r="I4391" i="4" s="1"/>
  <c r="K4390" i="4"/>
  <c r="J4390" i="4"/>
  <c r="H4390" i="4"/>
  <c r="I4390" i="4" s="1"/>
  <c r="K4389" i="4"/>
  <c r="J4389" i="4"/>
  <c r="H4389" i="4"/>
  <c r="I4389" i="4" s="1"/>
  <c r="K4388" i="4"/>
  <c r="J4388" i="4"/>
  <c r="H4388" i="4"/>
  <c r="I4388" i="4" s="1"/>
  <c r="K4387" i="4"/>
  <c r="J4387" i="4"/>
  <c r="H4387" i="4"/>
  <c r="I4387" i="4" s="1"/>
  <c r="K4386" i="4"/>
  <c r="J4386" i="4"/>
  <c r="H4386" i="4"/>
  <c r="I4386" i="4" s="1"/>
  <c r="K4385" i="4"/>
  <c r="J4385" i="4"/>
  <c r="H4385" i="4"/>
  <c r="I4385" i="4" s="1"/>
  <c r="K4384" i="4"/>
  <c r="J4384" i="4"/>
  <c r="H4384" i="4"/>
  <c r="I4384" i="4" s="1"/>
  <c r="K4383" i="4"/>
  <c r="J4383" i="4"/>
  <c r="H4383" i="4"/>
  <c r="I4383" i="4" s="1"/>
  <c r="K4382" i="4"/>
  <c r="J4382" i="4"/>
  <c r="H4382" i="4"/>
  <c r="I4382" i="4" s="1"/>
  <c r="K4381" i="4"/>
  <c r="J4381" i="4"/>
  <c r="H4381" i="4"/>
  <c r="I4381" i="4" s="1"/>
  <c r="K4380" i="4"/>
  <c r="J4380" i="4"/>
  <c r="H4380" i="4"/>
  <c r="I4380" i="4" s="1"/>
  <c r="K4379" i="4"/>
  <c r="J4379" i="4"/>
  <c r="H4379" i="4"/>
  <c r="I4379" i="4" s="1"/>
  <c r="K4378" i="4"/>
  <c r="J4378" i="4"/>
  <c r="H4378" i="4"/>
  <c r="I4378" i="4" s="1"/>
  <c r="K4377" i="4"/>
  <c r="J4377" i="4"/>
  <c r="H4377" i="4"/>
  <c r="I4377" i="4" s="1"/>
  <c r="K4376" i="4"/>
  <c r="J4376" i="4"/>
  <c r="H4376" i="4"/>
  <c r="I4376" i="4" s="1"/>
  <c r="K4375" i="4"/>
  <c r="J4375" i="4"/>
  <c r="H4375" i="4"/>
  <c r="I4375" i="4" s="1"/>
  <c r="K4374" i="4"/>
  <c r="J4374" i="4"/>
  <c r="H4374" i="4"/>
  <c r="I4374" i="4" s="1"/>
  <c r="K4373" i="4"/>
  <c r="J4373" i="4"/>
  <c r="H4373" i="4"/>
  <c r="I4373" i="4" s="1"/>
  <c r="K4372" i="4"/>
  <c r="J4372" i="4"/>
  <c r="H4372" i="4"/>
  <c r="I4372" i="4" s="1"/>
  <c r="K4371" i="4"/>
  <c r="J4371" i="4"/>
  <c r="H4371" i="4"/>
  <c r="I4371" i="4" s="1"/>
  <c r="K4370" i="4"/>
  <c r="J4370" i="4"/>
  <c r="H4370" i="4"/>
  <c r="I4370" i="4" s="1"/>
  <c r="K4369" i="4"/>
  <c r="J4369" i="4"/>
  <c r="H4369" i="4"/>
  <c r="I4369" i="4" s="1"/>
  <c r="K4368" i="4"/>
  <c r="J4368" i="4"/>
  <c r="H4368" i="4"/>
  <c r="I4368" i="4" s="1"/>
  <c r="K4367" i="4"/>
  <c r="J4367" i="4"/>
  <c r="H4367" i="4"/>
  <c r="I4367" i="4" s="1"/>
  <c r="K4366" i="4"/>
  <c r="J4366" i="4"/>
  <c r="H4366" i="4"/>
  <c r="I4366" i="4" s="1"/>
  <c r="K4365" i="4"/>
  <c r="J4365" i="4"/>
  <c r="H4365" i="4"/>
  <c r="I4365" i="4" s="1"/>
  <c r="K4364" i="4"/>
  <c r="J4364" i="4"/>
  <c r="H4364" i="4"/>
  <c r="I4364" i="4" s="1"/>
  <c r="K4363" i="4"/>
  <c r="J4363" i="4"/>
  <c r="H4363" i="4"/>
  <c r="I4363" i="4" s="1"/>
  <c r="K4362" i="4"/>
  <c r="J4362" i="4"/>
  <c r="H4362" i="4"/>
  <c r="I4362" i="4" s="1"/>
  <c r="K4361" i="4"/>
  <c r="J4361" i="4"/>
  <c r="H4361" i="4"/>
  <c r="I4361" i="4" s="1"/>
  <c r="K4360" i="4"/>
  <c r="J4360" i="4"/>
  <c r="H4360" i="4"/>
  <c r="I4360" i="4" s="1"/>
  <c r="K4359" i="4"/>
  <c r="J4359" i="4"/>
  <c r="H4359" i="4"/>
  <c r="I4359" i="4" s="1"/>
  <c r="K4358" i="4"/>
  <c r="J4358" i="4"/>
  <c r="H4358" i="4"/>
  <c r="I4358" i="4" s="1"/>
  <c r="K4357" i="4"/>
  <c r="J4357" i="4"/>
  <c r="H4357" i="4"/>
  <c r="I4357" i="4" s="1"/>
  <c r="K4356" i="4"/>
  <c r="J4356" i="4"/>
  <c r="H4356" i="4"/>
  <c r="I4356" i="4" s="1"/>
  <c r="K4355" i="4"/>
  <c r="J4355" i="4"/>
  <c r="H4355" i="4"/>
  <c r="I4355" i="4" s="1"/>
  <c r="K4354" i="4"/>
  <c r="J4354" i="4"/>
  <c r="H4354" i="4"/>
  <c r="I4354" i="4" s="1"/>
  <c r="K4353" i="4"/>
  <c r="J4353" i="4"/>
  <c r="H4353" i="4"/>
  <c r="I4353" i="4" s="1"/>
  <c r="K4352" i="4"/>
  <c r="J4352" i="4"/>
  <c r="H4352" i="4"/>
  <c r="I4352" i="4" s="1"/>
  <c r="K4351" i="4"/>
  <c r="J4351" i="4"/>
  <c r="H4351" i="4"/>
  <c r="I4351" i="4" s="1"/>
  <c r="K4350" i="4"/>
  <c r="J4350" i="4"/>
  <c r="H4350" i="4"/>
  <c r="I4350" i="4" s="1"/>
  <c r="K4349" i="4"/>
  <c r="J4349" i="4"/>
  <c r="H4349" i="4"/>
  <c r="I4349" i="4" s="1"/>
  <c r="K4348" i="4"/>
  <c r="J4348" i="4"/>
  <c r="H4348" i="4"/>
  <c r="I4348" i="4" s="1"/>
  <c r="K4347" i="4"/>
  <c r="J4347" i="4"/>
  <c r="H4347" i="4"/>
  <c r="I4347" i="4" s="1"/>
  <c r="K4346" i="4"/>
  <c r="J4346" i="4"/>
  <c r="H4346" i="4"/>
  <c r="I4346" i="4" s="1"/>
  <c r="K4345" i="4"/>
  <c r="J4345" i="4"/>
  <c r="H4345" i="4"/>
  <c r="I4345" i="4" s="1"/>
  <c r="K4344" i="4"/>
  <c r="J4344" i="4"/>
  <c r="H4344" i="4"/>
  <c r="I4344" i="4" s="1"/>
  <c r="K4343" i="4"/>
  <c r="J4343" i="4"/>
  <c r="H4343" i="4"/>
  <c r="I4343" i="4" s="1"/>
  <c r="K4342" i="4"/>
  <c r="J4342" i="4"/>
  <c r="H4342" i="4"/>
  <c r="I4342" i="4" s="1"/>
  <c r="K4341" i="4"/>
  <c r="J4341" i="4"/>
  <c r="H4341" i="4"/>
  <c r="I4341" i="4" s="1"/>
  <c r="K4340" i="4"/>
  <c r="J4340" i="4"/>
  <c r="H4340" i="4"/>
  <c r="I4340" i="4" s="1"/>
  <c r="K4339" i="4"/>
  <c r="J4339" i="4"/>
  <c r="H4339" i="4"/>
  <c r="I4339" i="4" s="1"/>
  <c r="K4338" i="4"/>
  <c r="J4338" i="4"/>
  <c r="H4338" i="4"/>
  <c r="I4338" i="4" s="1"/>
  <c r="K4337" i="4"/>
  <c r="J4337" i="4"/>
  <c r="H4337" i="4"/>
  <c r="I4337" i="4" s="1"/>
  <c r="K4336" i="4"/>
  <c r="J4336" i="4"/>
  <c r="H4336" i="4"/>
  <c r="I4336" i="4" s="1"/>
  <c r="K4335" i="4"/>
  <c r="J4335" i="4"/>
  <c r="H4335" i="4"/>
  <c r="I4335" i="4" s="1"/>
  <c r="K4334" i="4"/>
  <c r="J4334" i="4"/>
  <c r="H4334" i="4"/>
  <c r="I4334" i="4" s="1"/>
  <c r="K4333" i="4"/>
  <c r="J4333" i="4"/>
  <c r="H4333" i="4"/>
  <c r="I4333" i="4" s="1"/>
  <c r="K4332" i="4"/>
  <c r="J4332" i="4"/>
  <c r="H4332" i="4"/>
  <c r="I4332" i="4" s="1"/>
  <c r="K4331" i="4"/>
  <c r="J4331" i="4"/>
  <c r="H4331" i="4"/>
  <c r="I4331" i="4" s="1"/>
  <c r="K4330" i="4"/>
  <c r="J4330" i="4"/>
  <c r="H4330" i="4"/>
  <c r="I4330" i="4" s="1"/>
  <c r="K4329" i="4"/>
  <c r="J4329" i="4"/>
  <c r="H4329" i="4"/>
  <c r="I4329" i="4" s="1"/>
  <c r="K4328" i="4"/>
  <c r="J4328" i="4"/>
  <c r="H4328" i="4"/>
  <c r="I4328" i="4" s="1"/>
  <c r="K4327" i="4"/>
  <c r="J4327" i="4"/>
  <c r="H4327" i="4"/>
  <c r="I4327" i="4" s="1"/>
  <c r="K4326" i="4"/>
  <c r="J4326" i="4"/>
  <c r="H4326" i="4"/>
  <c r="I4326" i="4" s="1"/>
  <c r="K4325" i="4"/>
  <c r="J4325" i="4"/>
  <c r="H4325" i="4"/>
  <c r="I4325" i="4" s="1"/>
  <c r="K4324" i="4"/>
  <c r="J4324" i="4"/>
  <c r="H4324" i="4"/>
  <c r="I4324" i="4" s="1"/>
  <c r="K4323" i="4"/>
  <c r="J4323" i="4"/>
  <c r="H4323" i="4"/>
  <c r="I4323" i="4" s="1"/>
  <c r="K4322" i="4"/>
  <c r="J4322" i="4"/>
  <c r="H4322" i="4"/>
  <c r="I4322" i="4" s="1"/>
  <c r="K4321" i="4"/>
  <c r="J4321" i="4"/>
  <c r="H4321" i="4"/>
  <c r="I4321" i="4" s="1"/>
  <c r="K4320" i="4"/>
  <c r="J4320" i="4"/>
  <c r="H4320" i="4"/>
  <c r="I4320" i="4" s="1"/>
  <c r="K4319" i="4"/>
  <c r="J4319" i="4"/>
  <c r="H4319" i="4"/>
  <c r="I4319" i="4" s="1"/>
  <c r="K4318" i="4"/>
  <c r="J4318" i="4"/>
  <c r="H4318" i="4"/>
  <c r="I4318" i="4" s="1"/>
  <c r="K4317" i="4"/>
  <c r="J4317" i="4"/>
  <c r="H4317" i="4"/>
  <c r="I4317" i="4" s="1"/>
  <c r="K4316" i="4"/>
  <c r="J4316" i="4"/>
  <c r="H4316" i="4"/>
  <c r="I4316" i="4" s="1"/>
  <c r="K4315" i="4"/>
  <c r="J4315" i="4"/>
  <c r="H4315" i="4"/>
  <c r="I4315" i="4" s="1"/>
  <c r="K4314" i="4"/>
  <c r="J4314" i="4"/>
  <c r="H4314" i="4"/>
  <c r="I4314" i="4" s="1"/>
  <c r="K4313" i="4"/>
  <c r="J4313" i="4"/>
  <c r="H4313" i="4"/>
  <c r="I4313" i="4" s="1"/>
  <c r="K4312" i="4"/>
  <c r="J4312" i="4"/>
  <c r="H4312" i="4"/>
  <c r="I4312" i="4" s="1"/>
  <c r="K4311" i="4"/>
  <c r="J4311" i="4"/>
  <c r="H4311" i="4"/>
  <c r="I4311" i="4" s="1"/>
  <c r="K4310" i="4"/>
  <c r="J4310" i="4"/>
  <c r="H4310" i="4"/>
  <c r="I4310" i="4" s="1"/>
  <c r="K4309" i="4"/>
  <c r="J4309" i="4"/>
  <c r="H4309" i="4"/>
  <c r="I4309" i="4" s="1"/>
  <c r="K4308" i="4"/>
  <c r="J4308" i="4"/>
  <c r="H4308" i="4"/>
  <c r="I4308" i="4" s="1"/>
  <c r="K4307" i="4"/>
  <c r="J4307" i="4"/>
  <c r="H4307" i="4"/>
  <c r="I4307" i="4" s="1"/>
  <c r="K4306" i="4"/>
  <c r="J4306" i="4"/>
  <c r="H4306" i="4"/>
  <c r="I4306" i="4" s="1"/>
  <c r="K4305" i="4"/>
  <c r="J4305" i="4"/>
  <c r="H4305" i="4"/>
  <c r="I4305" i="4" s="1"/>
  <c r="K4304" i="4"/>
  <c r="J4304" i="4"/>
  <c r="H4304" i="4"/>
  <c r="I4304" i="4" s="1"/>
  <c r="K4303" i="4"/>
  <c r="J4303" i="4"/>
  <c r="H4303" i="4"/>
  <c r="I4303" i="4" s="1"/>
  <c r="K4302" i="4"/>
  <c r="J4302" i="4"/>
  <c r="H4302" i="4"/>
  <c r="I4302" i="4" s="1"/>
  <c r="K4301" i="4"/>
  <c r="J4301" i="4"/>
  <c r="H4301" i="4"/>
  <c r="I4301" i="4" s="1"/>
  <c r="K4300" i="4"/>
  <c r="J4300" i="4"/>
  <c r="H4300" i="4"/>
  <c r="I4300" i="4" s="1"/>
  <c r="K4299" i="4"/>
  <c r="J4299" i="4"/>
  <c r="H4299" i="4"/>
  <c r="I4299" i="4" s="1"/>
  <c r="K4298" i="4"/>
  <c r="J4298" i="4"/>
  <c r="H4298" i="4"/>
  <c r="I4298" i="4" s="1"/>
  <c r="K4297" i="4"/>
  <c r="J4297" i="4"/>
  <c r="H4297" i="4"/>
  <c r="I4297" i="4" s="1"/>
  <c r="K4296" i="4"/>
  <c r="J4296" i="4"/>
  <c r="H4296" i="4"/>
  <c r="I4296" i="4" s="1"/>
  <c r="K4295" i="4"/>
  <c r="J4295" i="4"/>
  <c r="H4295" i="4"/>
  <c r="I4295" i="4" s="1"/>
  <c r="K4294" i="4"/>
  <c r="J4294" i="4"/>
  <c r="H4294" i="4"/>
  <c r="I4294" i="4" s="1"/>
  <c r="K4293" i="4"/>
  <c r="J4293" i="4"/>
  <c r="H4293" i="4"/>
  <c r="I4293" i="4" s="1"/>
  <c r="K4292" i="4"/>
  <c r="J4292" i="4"/>
  <c r="H4292" i="4"/>
  <c r="I4292" i="4" s="1"/>
  <c r="K4291" i="4"/>
  <c r="J4291" i="4"/>
  <c r="H4291" i="4"/>
  <c r="I4291" i="4" s="1"/>
  <c r="K4290" i="4"/>
  <c r="J4290" i="4"/>
  <c r="H4290" i="4"/>
  <c r="I4290" i="4" s="1"/>
  <c r="K4289" i="4"/>
  <c r="J4289" i="4"/>
  <c r="H4289" i="4"/>
  <c r="I4289" i="4" s="1"/>
  <c r="K4288" i="4"/>
  <c r="J4288" i="4"/>
  <c r="H4288" i="4"/>
  <c r="I4288" i="4" s="1"/>
  <c r="K4287" i="4"/>
  <c r="J4287" i="4"/>
  <c r="H4287" i="4"/>
  <c r="I4287" i="4" s="1"/>
  <c r="K4286" i="4"/>
  <c r="J4286" i="4"/>
  <c r="H4286" i="4"/>
  <c r="I4286" i="4" s="1"/>
  <c r="K4285" i="4"/>
  <c r="J4285" i="4"/>
  <c r="H4285" i="4"/>
  <c r="I4285" i="4" s="1"/>
  <c r="K4284" i="4"/>
  <c r="J4284" i="4"/>
  <c r="H4284" i="4"/>
  <c r="I4284" i="4" s="1"/>
  <c r="K4283" i="4"/>
  <c r="J4283" i="4"/>
  <c r="H4283" i="4"/>
  <c r="I4283" i="4" s="1"/>
  <c r="K4282" i="4"/>
  <c r="J4282" i="4"/>
  <c r="H4282" i="4"/>
  <c r="I4282" i="4" s="1"/>
  <c r="K4281" i="4"/>
  <c r="J4281" i="4"/>
  <c r="H4281" i="4"/>
  <c r="I4281" i="4" s="1"/>
  <c r="K4280" i="4"/>
  <c r="J4280" i="4"/>
  <c r="H4280" i="4"/>
  <c r="I4280" i="4" s="1"/>
  <c r="K4279" i="4"/>
  <c r="J4279" i="4"/>
  <c r="H4279" i="4"/>
  <c r="I4279" i="4" s="1"/>
  <c r="K4278" i="4"/>
  <c r="J4278" i="4"/>
  <c r="H4278" i="4"/>
  <c r="I4278" i="4" s="1"/>
  <c r="K4277" i="4"/>
  <c r="J4277" i="4"/>
  <c r="H4277" i="4"/>
  <c r="I4277" i="4" s="1"/>
  <c r="K4276" i="4"/>
  <c r="J4276" i="4"/>
  <c r="H4276" i="4"/>
  <c r="I4276" i="4" s="1"/>
  <c r="K4275" i="4"/>
  <c r="J4275" i="4"/>
  <c r="H4275" i="4"/>
  <c r="I4275" i="4" s="1"/>
  <c r="K4274" i="4"/>
  <c r="J4274" i="4"/>
  <c r="H4274" i="4"/>
  <c r="I4274" i="4" s="1"/>
  <c r="K4273" i="4"/>
  <c r="J4273" i="4"/>
  <c r="H4273" i="4"/>
  <c r="I4273" i="4" s="1"/>
  <c r="K4272" i="4"/>
  <c r="J4272" i="4"/>
  <c r="H4272" i="4"/>
  <c r="I4272" i="4" s="1"/>
  <c r="K4271" i="4"/>
  <c r="J4271" i="4"/>
  <c r="H4271" i="4"/>
  <c r="I4271" i="4" s="1"/>
  <c r="K4270" i="4"/>
  <c r="J4270" i="4"/>
  <c r="H4270" i="4"/>
  <c r="I4270" i="4" s="1"/>
  <c r="K4269" i="4"/>
  <c r="J4269" i="4"/>
  <c r="H4269" i="4"/>
  <c r="I4269" i="4" s="1"/>
  <c r="K4268" i="4"/>
  <c r="J4268" i="4"/>
  <c r="H4268" i="4"/>
  <c r="I4268" i="4" s="1"/>
  <c r="K4267" i="4"/>
  <c r="J4267" i="4"/>
  <c r="H4267" i="4"/>
  <c r="I4267" i="4" s="1"/>
  <c r="K4266" i="4"/>
  <c r="J4266" i="4"/>
  <c r="H4266" i="4"/>
  <c r="I4266" i="4" s="1"/>
  <c r="K4265" i="4"/>
  <c r="J4265" i="4"/>
  <c r="H4265" i="4"/>
  <c r="I4265" i="4" s="1"/>
  <c r="K4264" i="4"/>
  <c r="J4264" i="4"/>
  <c r="H4264" i="4"/>
  <c r="I4264" i="4" s="1"/>
  <c r="K4263" i="4"/>
  <c r="J4263" i="4"/>
  <c r="H4263" i="4"/>
  <c r="I4263" i="4" s="1"/>
  <c r="K4262" i="4"/>
  <c r="J4262" i="4"/>
  <c r="H4262" i="4"/>
  <c r="I4262" i="4" s="1"/>
  <c r="K4261" i="4"/>
  <c r="J4261" i="4"/>
  <c r="H4261" i="4"/>
  <c r="I4261" i="4" s="1"/>
  <c r="K4260" i="4"/>
  <c r="J4260" i="4"/>
  <c r="H4260" i="4"/>
  <c r="I4260" i="4" s="1"/>
  <c r="K4259" i="4"/>
  <c r="J4259" i="4"/>
  <c r="H4259" i="4"/>
  <c r="I4259" i="4" s="1"/>
  <c r="K4258" i="4"/>
  <c r="J4258" i="4"/>
  <c r="H4258" i="4"/>
  <c r="I4258" i="4" s="1"/>
  <c r="K4257" i="4"/>
  <c r="J4257" i="4"/>
  <c r="H4257" i="4"/>
  <c r="I4257" i="4" s="1"/>
  <c r="K4256" i="4"/>
  <c r="J4256" i="4"/>
  <c r="H4256" i="4"/>
  <c r="I4256" i="4" s="1"/>
  <c r="K4255" i="4"/>
  <c r="J4255" i="4"/>
  <c r="H4255" i="4"/>
  <c r="I4255" i="4" s="1"/>
  <c r="K4254" i="4"/>
  <c r="J4254" i="4"/>
  <c r="H4254" i="4"/>
  <c r="I4254" i="4" s="1"/>
  <c r="K4253" i="4"/>
  <c r="J4253" i="4"/>
  <c r="H4253" i="4"/>
  <c r="I4253" i="4" s="1"/>
  <c r="K4252" i="4"/>
  <c r="J4252" i="4"/>
  <c r="H4252" i="4"/>
  <c r="I4252" i="4" s="1"/>
  <c r="K4251" i="4"/>
  <c r="J4251" i="4"/>
  <c r="H4251" i="4"/>
  <c r="I4251" i="4" s="1"/>
  <c r="K4250" i="4"/>
  <c r="J4250" i="4"/>
  <c r="H4250" i="4"/>
  <c r="I4250" i="4" s="1"/>
  <c r="K4249" i="4"/>
  <c r="J4249" i="4"/>
  <c r="H4249" i="4"/>
  <c r="I4249" i="4" s="1"/>
  <c r="K4248" i="4"/>
  <c r="J4248" i="4"/>
  <c r="H4248" i="4"/>
  <c r="I4248" i="4" s="1"/>
  <c r="K4247" i="4"/>
  <c r="J4247" i="4"/>
  <c r="H4247" i="4"/>
  <c r="I4247" i="4" s="1"/>
  <c r="K4246" i="4"/>
  <c r="J4246" i="4"/>
  <c r="H4246" i="4"/>
  <c r="I4246" i="4" s="1"/>
  <c r="K4245" i="4"/>
  <c r="J4245" i="4"/>
  <c r="H4245" i="4"/>
  <c r="I4245" i="4" s="1"/>
  <c r="K4244" i="4"/>
  <c r="J4244" i="4"/>
  <c r="H4244" i="4"/>
  <c r="I4244" i="4" s="1"/>
  <c r="K4243" i="4"/>
  <c r="J4243" i="4"/>
  <c r="H4243" i="4"/>
  <c r="I4243" i="4" s="1"/>
  <c r="K4242" i="4"/>
  <c r="J4242" i="4"/>
  <c r="H4242" i="4"/>
  <c r="I4242" i="4" s="1"/>
  <c r="K4241" i="4"/>
  <c r="J4241" i="4"/>
  <c r="H4241" i="4"/>
  <c r="I4241" i="4" s="1"/>
  <c r="K4240" i="4"/>
  <c r="J4240" i="4"/>
  <c r="H4240" i="4"/>
  <c r="I4240" i="4" s="1"/>
  <c r="K4239" i="4"/>
  <c r="J4239" i="4"/>
  <c r="H4239" i="4"/>
  <c r="I4239" i="4" s="1"/>
  <c r="K4238" i="4"/>
  <c r="J4238" i="4"/>
  <c r="H4238" i="4"/>
  <c r="I4238" i="4" s="1"/>
  <c r="K4237" i="4"/>
  <c r="J4237" i="4"/>
  <c r="H4237" i="4"/>
  <c r="I4237" i="4" s="1"/>
  <c r="K4236" i="4"/>
  <c r="J4236" i="4"/>
  <c r="H4236" i="4"/>
  <c r="I4236" i="4" s="1"/>
  <c r="K4235" i="4"/>
  <c r="J4235" i="4"/>
  <c r="H4235" i="4"/>
  <c r="I4235" i="4" s="1"/>
  <c r="K4234" i="4"/>
  <c r="J4234" i="4"/>
  <c r="H4234" i="4"/>
  <c r="I4234" i="4" s="1"/>
  <c r="K4233" i="4"/>
  <c r="J4233" i="4"/>
  <c r="H4233" i="4"/>
  <c r="I4233" i="4" s="1"/>
  <c r="K4232" i="4"/>
  <c r="J4232" i="4"/>
  <c r="H4232" i="4"/>
  <c r="I4232" i="4" s="1"/>
  <c r="K4231" i="4"/>
  <c r="J4231" i="4"/>
  <c r="H4231" i="4"/>
  <c r="I4231" i="4" s="1"/>
  <c r="K4230" i="4"/>
  <c r="J4230" i="4"/>
  <c r="H4230" i="4"/>
  <c r="I4230" i="4" s="1"/>
  <c r="K4229" i="4"/>
  <c r="J4229" i="4"/>
  <c r="H4229" i="4"/>
  <c r="I4229" i="4" s="1"/>
  <c r="K4228" i="4"/>
  <c r="J4228" i="4"/>
  <c r="H4228" i="4"/>
  <c r="I4228" i="4" s="1"/>
  <c r="K4227" i="4"/>
  <c r="J4227" i="4"/>
  <c r="H4227" i="4"/>
  <c r="I4227" i="4" s="1"/>
  <c r="K4226" i="4"/>
  <c r="J4226" i="4"/>
  <c r="H4226" i="4"/>
  <c r="I4226" i="4" s="1"/>
  <c r="K4225" i="4"/>
  <c r="J4225" i="4"/>
  <c r="H4225" i="4"/>
  <c r="I4225" i="4" s="1"/>
  <c r="K4224" i="4"/>
  <c r="J4224" i="4"/>
  <c r="H4224" i="4"/>
  <c r="I4224" i="4" s="1"/>
  <c r="K4223" i="4"/>
  <c r="J4223" i="4"/>
  <c r="H4223" i="4"/>
  <c r="I4223" i="4" s="1"/>
  <c r="K4222" i="4"/>
  <c r="J4222" i="4"/>
  <c r="H4222" i="4"/>
  <c r="I4222" i="4" s="1"/>
  <c r="K4221" i="4"/>
  <c r="J4221" i="4"/>
  <c r="H4221" i="4"/>
  <c r="I4221" i="4" s="1"/>
  <c r="K4220" i="4"/>
  <c r="J4220" i="4"/>
  <c r="H4220" i="4"/>
  <c r="I4220" i="4" s="1"/>
  <c r="K4219" i="4"/>
  <c r="J4219" i="4"/>
  <c r="H4219" i="4"/>
  <c r="I4219" i="4" s="1"/>
  <c r="K4218" i="4"/>
  <c r="J4218" i="4"/>
  <c r="H4218" i="4"/>
  <c r="I4218" i="4" s="1"/>
  <c r="K4217" i="4"/>
  <c r="J4217" i="4"/>
  <c r="H4217" i="4"/>
  <c r="I4217" i="4" s="1"/>
  <c r="K4216" i="4"/>
  <c r="J4216" i="4"/>
  <c r="H4216" i="4"/>
  <c r="I4216" i="4" s="1"/>
  <c r="K4215" i="4"/>
  <c r="J4215" i="4"/>
  <c r="H4215" i="4"/>
  <c r="I4215" i="4" s="1"/>
  <c r="K4214" i="4"/>
  <c r="J4214" i="4"/>
  <c r="H4214" i="4"/>
  <c r="I4214" i="4" s="1"/>
  <c r="K4213" i="4"/>
  <c r="J4213" i="4"/>
  <c r="H4213" i="4"/>
  <c r="I4213" i="4" s="1"/>
  <c r="K4212" i="4"/>
  <c r="J4212" i="4"/>
  <c r="H4212" i="4"/>
  <c r="I4212" i="4" s="1"/>
  <c r="K4211" i="4"/>
  <c r="J4211" i="4"/>
  <c r="H4211" i="4"/>
  <c r="I4211" i="4" s="1"/>
  <c r="K4210" i="4"/>
  <c r="J4210" i="4"/>
  <c r="H4210" i="4"/>
  <c r="I4210" i="4" s="1"/>
  <c r="K4209" i="4"/>
  <c r="J4209" i="4"/>
  <c r="H4209" i="4"/>
  <c r="I4209" i="4" s="1"/>
  <c r="K4208" i="4"/>
  <c r="J4208" i="4"/>
  <c r="H4208" i="4"/>
  <c r="I4208" i="4" s="1"/>
  <c r="K4207" i="4"/>
  <c r="J4207" i="4"/>
  <c r="H4207" i="4"/>
  <c r="I4207" i="4" s="1"/>
  <c r="K4206" i="4"/>
  <c r="J4206" i="4"/>
  <c r="H4206" i="4"/>
  <c r="I4206" i="4" s="1"/>
  <c r="K4205" i="4"/>
  <c r="J4205" i="4"/>
  <c r="H4205" i="4"/>
  <c r="I4205" i="4" s="1"/>
  <c r="K4204" i="4"/>
  <c r="J4204" i="4"/>
  <c r="H4204" i="4"/>
  <c r="I4204" i="4" s="1"/>
  <c r="K4203" i="4"/>
  <c r="J4203" i="4"/>
  <c r="H4203" i="4"/>
  <c r="I4203" i="4" s="1"/>
  <c r="K4202" i="4"/>
  <c r="J4202" i="4"/>
  <c r="H4202" i="4"/>
  <c r="I4202" i="4" s="1"/>
  <c r="K4201" i="4"/>
  <c r="J4201" i="4"/>
  <c r="H4201" i="4"/>
  <c r="I4201" i="4" s="1"/>
  <c r="K4200" i="4"/>
  <c r="J4200" i="4"/>
  <c r="H4200" i="4"/>
  <c r="I4200" i="4" s="1"/>
  <c r="K4199" i="4"/>
  <c r="J4199" i="4"/>
  <c r="H4199" i="4"/>
  <c r="I4199" i="4" s="1"/>
  <c r="K4198" i="4"/>
  <c r="J4198" i="4"/>
  <c r="H4198" i="4"/>
  <c r="I4198" i="4" s="1"/>
  <c r="K4197" i="4"/>
  <c r="J4197" i="4"/>
  <c r="H4197" i="4"/>
  <c r="I4197" i="4" s="1"/>
  <c r="K4196" i="4"/>
  <c r="J4196" i="4"/>
  <c r="H4196" i="4"/>
  <c r="I4196" i="4" s="1"/>
  <c r="K4195" i="4"/>
  <c r="J4195" i="4"/>
  <c r="H4195" i="4"/>
  <c r="I4195" i="4" s="1"/>
  <c r="K4194" i="4"/>
  <c r="J4194" i="4"/>
  <c r="H4194" i="4"/>
  <c r="I4194" i="4" s="1"/>
  <c r="K4193" i="4"/>
  <c r="J4193" i="4"/>
  <c r="H4193" i="4"/>
  <c r="I4193" i="4" s="1"/>
  <c r="K4192" i="4"/>
  <c r="J4192" i="4"/>
  <c r="H4192" i="4"/>
  <c r="I4192" i="4" s="1"/>
  <c r="K4191" i="4"/>
  <c r="J4191" i="4"/>
  <c r="H4191" i="4"/>
  <c r="I4191" i="4" s="1"/>
  <c r="K4190" i="4"/>
  <c r="J4190" i="4"/>
  <c r="H4190" i="4"/>
  <c r="I4190" i="4" s="1"/>
  <c r="K4189" i="4"/>
  <c r="J4189" i="4"/>
  <c r="H4189" i="4"/>
  <c r="I4189" i="4" s="1"/>
  <c r="K4188" i="4"/>
  <c r="J4188" i="4"/>
  <c r="H4188" i="4"/>
  <c r="I4188" i="4" s="1"/>
  <c r="K4187" i="4"/>
  <c r="J4187" i="4"/>
  <c r="H4187" i="4"/>
  <c r="I4187" i="4" s="1"/>
  <c r="K4186" i="4"/>
  <c r="J4186" i="4"/>
  <c r="H4186" i="4"/>
  <c r="I4186" i="4" s="1"/>
  <c r="K4185" i="4"/>
  <c r="J4185" i="4"/>
  <c r="H4185" i="4"/>
  <c r="I4185" i="4" s="1"/>
  <c r="K4184" i="4"/>
  <c r="J4184" i="4"/>
  <c r="H4184" i="4"/>
  <c r="I4184" i="4" s="1"/>
  <c r="K4183" i="4"/>
  <c r="J4183" i="4"/>
  <c r="H4183" i="4"/>
  <c r="I4183" i="4" s="1"/>
  <c r="K4182" i="4"/>
  <c r="J4182" i="4"/>
  <c r="H4182" i="4"/>
  <c r="I4182" i="4" s="1"/>
  <c r="K4181" i="4"/>
  <c r="J4181" i="4"/>
  <c r="H4181" i="4"/>
  <c r="I4181" i="4" s="1"/>
  <c r="K4180" i="4"/>
  <c r="J4180" i="4"/>
  <c r="H4180" i="4"/>
  <c r="I4180" i="4" s="1"/>
  <c r="K4179" i="4"/>
  <c r="J4179" i="4"/>
  <c r="H4179" i="4"/>
  <c r="I4179" i="4" s="1"/>
  <c r="K4178" i="4"/>
  <c r="J4178" i="4"/>
  <c r="H4178" i="4"/>
  <c r="I4178" i="4" s="1"/>
  <c r="K4177" i="4"/>
  <c r="J4177" i="4"/>
  <c r="H4177" i="4"/>
  <c r="I4177" i="4" s="1"/>
  <c r="K4176" i="4"/>
  <c r="J4176" i="4"/>
  <c r="H4176" i="4"/>
  <c r="I4176" i="4" s="1"/>
  <c r="K4175" i="4"/>
  <c r="J4175" i="4"/>
  <c r="H4175" i="4"/>
  <c r="I4175" i="4" s="1"/>
  <c r="K4174" i="4"/>
  <c r="J4174" i="4"/>
  <c r="H4174" i="4"/>
  <c r="I4174" i="4" s="1"/>
  <c r="K4173" i="4"/>
  <c r="J4173" i="4"/>
  <c r="H4173" i="4"/>
  <c r="I4173" i="4" s="1"/>
  <c r="K4172" i="4"/>
  <c r="J4172" i="4"/>
  <c r="H4172" i="4"/>
  <c r="I4172" i="4" s="1"/>
  <c r="K4171" i="4"/>
  <c r="J4171" i="4"/>
  <c r="H4171" i="4"/>
  <c r="I4171" i="4" s="1"/>
  <c r="K4170" i="4"/>
  <c r="J4170" i="4"/>
  <c r="H4170" i="4"/>
  <c r="I4170" i="4" s="1"/>
  <c r="K4169" i="4"/>
  <c r="J4169" i="4"/>
  <c r="H4169" i="4"/>
  <c r="I4169" i="4" s="1"/>
  <c r="K4168" i="4"/>
  <c r="J4168" i="4"/>
  <c r="H4168" i="4"/>
  <c r="I4168" i="4" s="1"/>
  <c r="K4167" i="4"/>
  <c r="J4167" i="4"/>
  <c r="H4167" i="4"/>
  <c r="I4167" i="4" s="1"/>
  <c r="K4166" i="4"/>
  <c r="J4166" i="4"/>
  <c r="H4166" i="4"/>
  <c r="I4166" i="4" s="1"/>
  <c r="K4165" i="4"/>
  <c r="J4165" i="4"/>
  <c r="H4165" i="4"/>
  <c r="I4165" i="4" s="1"/>
  <c r="K4164" i="4"/>
  <c r="J4164" i="4"/>
  <c r="H4164" i="4"/>
  <c r="I4164" i="4" s="1"/>
  <c r="K4163" i="4"/>
  <c r="J4163" i="4"/>
  <c r="H4163" i="4"/>
  <c r="I4163" i="4" s="1"/>
  <c r="K4162" i="4"/>
  <c r="J4162" i="4"/>
  <c r="H4162" i="4"/>
  <c r="I4162" i="4" s="1"/>
  <c r="K4161" i="4"/>
  <c r="J4161" i="4"/>
  <c r="H4161" i="4"/>
  <c r="I4161" i="4" s="1"/>
  <c r="K4160" i="4"/>
  <c r="J4160" i="4"/>
  <c r="H4160" i="4"/>
  <c r="I4160" i="4" s="1"/>
  <c r="K4159" i="4"/>
  <c r="J4159" i="4"/>
  <c r="H4159" i="4"/>
  <c r="I4159" i="4" s="1"/>
  <c r="K4158" i="4"/>
  <c r="J4158" i="4"/>
  <c r="H4158" i="4"/>
  <c r="I4158" i="4" s="1"/>
  <c r="K4157" i="4"/>
  <c r="J4157" i="4"/>
  <c r="H4157" i="4"/>
  <c r="I4157" i="4" s="1"/>
  <c r="K4156" i="4"/>
  <c r="J4156" i="4"/>
  <c r="H4156" i="4"/>
  <c r="I4156" i="4" s="1"/>
  <c r="K4155" i="4"/>
  <c r="J4155" i="4"/>
  <c r="H4155" i="4"/>
  <c r="I4155" i="4" s="1"/>
  <c r="K4154" i="4"/>
  <c r="J4154" i="4"/>
  <c r="H4154" i="4"/>
  <c r="I4154" i="4" s="1"/>
  <c r="K4153" i="4"/>
  <c r="J4153" i="4"/>
  <c r="H4153" i="4"/>
  <c r="I4153" i="4" s="1"/>
  <c r="K4152" i="4"/>
  <c r="J4152" i="4"/>
  <c r="H4152" i="4"/>
  <c r="I4152" i="4" s="1"/>
  <c r="K4151" i="4"/>
  <c r="J4151" i="4"/>
  <c r="H4151" i="4"/>
  <c r="I4151" i="4" s="1"/>
  <c r="K4150" i="4"/>
  <c r="J4150" i="4"/>
  <c r="H4150" i="4"/>
  <c r="I4150" i="4" s="1"/>
  <c r="K4149" i="4"/>
  <c r="J4149" i="4"/>
  <c r="H4149" i="4"/>
  <c r="I4149" i="4" s="1"/>
  <c r="K4148" i="4"/>
  <c r="J4148" i="4"/>
  <c r="H4148" i="4"/>
  <c r="I4148" i="4" s="1"/>
  <c r="K4147" i="4"/>
  <c r="J4147" i="4"/>
  <c r="H4147" i="4"/>
  <c r="I4147" i="4" s="1"/>
  <c r="K4146" i="4"/>
  <c r="J4146" i="4"/>
  <c r="H4146" i="4"/>
  <c r="I4146" i="4" s="1"/>
  <c r="K4145" i="4"/>
  <c r="J4145" i="4"/>
  <c r="H4145" i="4"/>
  <c r="I4145" i="4" s="1"/>
  <c r="K4144" i="4"/>
  <c r="J4144" i="4"/>
  <c r="H4144" i="4"/>
  <c r="I4144" i="4" s="1"/>
  <c r="K4143" i="4"/>
  <c r="J4143" i="4"/>
  <c r="H4143" i="4"/>
  <c r="I4143" i="4" s="1"/>
  <c r="K4142" i="4"/>
  <c r="J4142" i="4"/>
  <c r="H4142" i="4"/>
  <c r="I4142" i="4" s="1"/>
  <c r="K4141" i="4"/>
  <c r="J4141" i="4"/>
  <c r="H4141" i="4"/>
  <c r="I4141" i="4" s="1"/>
  <c r="K4140" i="4"/>
  <c r="J4140" i="4"/>
  <c r="H4140" i="4"/>
  <c r="I4140" i="4" s="1"/>
  <c r="K4139" i="4"/>
  <c r="J4139" i="4"/>
  <c r="H4139" i="4"/>
  <c r="I4139" i="4" s="1"/>
  <c r="K4138" i="4"/>
  <c r="J4138" i="4"/>
  <c r="H4138" i="4"/>
  <c r="I4138" i="4" s="1"/>
  <c r="K4137" i="4"/>
  <c r="J4137" i="4"/>
  <c r="H4137" i="4"/>
  <c r="I4137" i="4" s="1"/>
  <c r="K4136" i="4"/>
  <c r="J4136" i="4"/>
  <c r="H4136" i="4"/>
  <c r="I4136" i="4" s="1"/>
  <c r="K4135" i="4"/>
  <c r="J4135" i="4"/>
  <c r="H4135" i="4"/>
  <c r="I4135" i="4" s="1"/>
  <c r="K4134" i="4"/>
  <c r="J4134" i="4"/>
  <c r="H4134" i="4"/>
  <c r="I4134" i="4" s="1"/>
  <c r="K4133" i="4"/>
  <c r="J4133" i="4"/>
  <c r="H4133" i="4"/>
  <c r="I4133" i="4" s="1"/>
  <c r="K4132" i="4"/>
  <c r="J4132" i="4"/>
  <c r="H4132" i="4"/>
  <c r="I4132" i="4" s="1"/>
  <c r="K4131" i="4"/>
  <c r="J4131" i="4"/>
  <c r="H4131" i="4"/>
  <c r="I4131" i="4" s="1"/>
  <c r="K4130" i="4"/>
  <c r="J4130" i="4"/>
  <c r="H4130" i="4"/>
  <c r="I4130" i="4" s="1"/>
  <c r="K4129" i="4"/>
  <c r="J4129" i="4"/>
  <c r="H4129" i="4"/>
  <c r="I4129" i="4" s="1"/>
  <c r="K4128" i="4"/>
  <c r="J4128" i="4"/>
  <c r="H4128" i="4"/>
  <c r="I4128" i="4" s="1"/>
  <c r="K4127" i="4"/>
  <c r="J4127" i="4"/>
  <c r="H4127" i="4"/>
  <c r="I4127" i="4" s="1"/>
  <c r="K4126" i="4"/>
  <c r="J4126" i="4"/>
  <c r="H4126" i="4"/>
  <c r="I4126" i="4" s="1"/>
  <c r="K4125" i="4"/>
  <c r="J4125" i="4"/>
  <c r="H4125" i="4"/>
  <c r="I4125" i="4" s="1"/>
  <c r="K4124" i="4"/>
  <c r="J4124" i="4"/>
  <c r="H4124" i="4"/>
  <c r="I4124" i="4" s="1"/>
  <c r="K4123" i="4"/>
  <c r="J4123" i="4"/>
  <c r="H4123" i="4"/>
  <c r="I4123" i="4" s="1"/>
  <c r="K4122" i="4"/>
  <c r="J4122" i="4"/>
  <c r="H4122" i="4"/>
  <c r="I4122" i="4" s="1"/>
  <c r="K4121" i="4"/>
  <c r="J4121" i="4"/>
  <c r="H4121" i="4"/>
  <c r="I4121" i="4" s="1"/>
  <c r="K4120" i="4"/>
  <c r="J4120" i="4"/>
  <c r="H4120" i="4"/>
  <c r="I4120" i="4" s="1"/>
  <c r="K4119" i="4"/>
  <c r="J4119" i="4"/>
  <c r="H4119" i="4"/>
  <c r="I4119" i="4" s="1"/>
  <c r="K4118" i="4"/>
  <c r="J4118" i="4"/>
  <c r="H4118" i="4"/>
  <c r="I4118" i="4" s="1"/>
  <c r="K4117" i="4"/>
  <c r="J4117" i="4"/>
  <c r="H4117" i="4"/>
  <c r="I4117" i="4" s="1"/>
  <c r="K4116" i="4"/>
  <c r="J4116" i="4"/>
  <c r="H4116" i="4"/>
  <c r="I4116" i="4" s="1"/>
  <c r="K4115" i="4"/>
  <c r="J4115" i="4"/>
  <c r="H4115" i="4"/>
  <c r="I4115" i="4" s="1"/>
  <c r="K4114" i="4"/>
  <c r="J4114" i="4"/>
  <c r="H4114" i="4"/>
  <c r="I4114" i="4" s="1"/>
  <c r="K4113" i="4"/>
  <c r="J4113" i="4"/>
  <c r="H4113" i="4"/>
  <c r="I4113" i="4" s="1"/>
  <c r="K4112" i="4"/>
  <c r="J4112" i="4"/>
  <c r="H4112" i="4"/>
  <c r="I4112" i="4" s="1"/>
  <c r="K4111" i="4"/>
  <c r="J4111" i="4"/>
  <c r="H4111" i="4"/>
  <c r="I4111" i="4" s="1"/>
  <c r="K4110" i="4"/>
  <c r="J4110" i="4"/>
  <c r="H4110" i="4"/>
  <c r="I4110" i="4" s="1"/>
  <c r="K4109" i="4"/>
  <c r="J4109" i="4"/>
  <c r="H4109" i="4"/>
  <c r="I4109" i="4" s="1"/>
  <c r="K4108" i="4"/>
  <c r="J4108" i="4"/>
  <c r="H4108" i="4"/>
  <c r="I4108" i="4" s="1"/>
  <c r="K4107" i="4"/>
  <c r="J4107" i="4"/>
  <c r="H4107" i="4"/>
  <c r="I4107" i="4" s="1"/>
  <c r="K4106" i="4"/>
  <c r="J4106" i="4"/>
  <c r="H4106" i="4"/>
  <c r="I4106" i="4" s="1"/>
  <c r="K4105" i="4"/>
  <c r="J4105" i="4"/>
  <c r="H4105" i="4"/>
  <c r="I4105" i="4" s="1"/>
  <c r="K4104" i="4"/>
  <c r="J4104" i="4"/>
  <c r="H4104" i="4"/>
  <c r="I4104" i="4" s="1"/>
  <c r="K4103" i="4"/>
  <c r="J4103" i="4"/>
  <c r="H4103" i="4"/>
  <c r="I4103" i="4" s="1"/>
  <c r="K4102" i="4"/>
  <c r="J4102" i="4"/>
  <c r="H4102" i="4"/>
  <c r="I4102" i="4" s="1"/>
  <c r="K4101" i="4"/>
  <c r="J4101" i="4"/>
  <c r="H4101" i="4"/>
  <c r="I4101" i="4" s="1"/>
  <c r="K4100" i="4"/>
  <c r="J4100" i="4"/>
  <c r="H4100" i="4"/>
  <c r="I4100" i="4" s="1"/>
  <c r="K4099" i="4"/>
  <c r="J4099" i="4"/>
  <c r="H4099" i="4"/>
  <c r="I4099" i="4" s="1"/>
  <c r="K4098" i="4"/>
  <c r="J4098" i="4"/>
  <c r="H4098" i="4"/>
  <c r="I4098" i="4" s="1"/>
  <c r="K4097" i="4"/>
  <c r="J4097" i="4"/>
  <c r="H4097" i="4"/>
  <c r="I4097" i="4" s="1"/>
  <c r="K4096" i="4"/>
  <c r="J4096" i="4"/>
  <c r="H4096" i="4"/>
  <c r="I4096" i="4" s="1"/>
  <c r="K4095" i="4"/>
  <c r="J4095" i="4"/>
  <c r="H4095" i="4"/>
  <c r="I4095" i="4" s="1"/>
  <c r="K4094" i="4"/>
  <c r="J4094" i="4"/>
  <c r="H4094" i="4"/>
  <c r="I4094" i="4" s="1"/>
  <c r="K4093" i="4"/>
  <c r="J4093" i="4"/>
  <c r="H4093" i="4"/>
  <c r="I4093" i="4" s="1"/>
  <c r="K4092" i="4"/>
  <c r="J4092" i="4"/>
  <c r="H4092" i="4"/>
  <c r="I4092" i="4" s="1"/>
  <c r="K4091" i="4"/>
  <c r="J4091" i="4"/>
  <c r="H4091" i="4"/>
  <c r="I4091" i="4" s="1"/>
  <c r="K4090" i="4"/>
  <c r="J4090" i="4"/>
  <c r="H4090" i="4"/>
  <c r="I4090" i="4" s="1"/>
  <c r="K4089" i="4"/>
  <c r="J4089" i="4"/>
  <c r="H4089" i="4"/>
  <c r="I4089" i="4" s="1"/>
  <c r="K4088" i="4"/>
  <c r="J4088" i="4"/>
  <c r="H4088" i="4"/>
  <c r="I4088" i="4" s="1"/>
  <c r="K4087" i="4"/>
  <c r="J4087" i="4"/>
  <c r="H4087" i="4"/>
  <c r="I4087" i="4" s="1"/>
  <c r="K4086" i="4"/>
  <c r="J4086" i="4"/>
  <c r="H4086" i="4"/>
  <c r="I4086" i="4" s="1"/>
  <c r="K4085" i="4"/>
  <c r="J4085" i="4"/>
  <c r="H4085" i="4"/>
  <c r="I4085" i="4" s="1"/>
  <c r="K4084" i="4"/>
  <c r="J4084" i="4"/>
  <c r="H4084" i="4"/>
  <c r="I4084" i="4" s="1"/>
  <c r="K4083" i="4"/>
  <c r="J4083" i="4"/>
  <c r="H4083" i="4"/>
  <c r="I4083" i="4" s="1"/>
  <c r="K4082" i="4"/>
  <c r="J4082" i="4"/>
  <c r="H4082" i="4"/>
  <c r="I4082" i="4" s="1"/>
  <c r="K4081" i="4"/>
  <c r="J4081" i="4"/>
  <c r="H4081" i="4"/>
  <c r="I4081" i="4" s="1"/>
  <c r="K4080" i="4"/>
  <c r="J4080" i="4"/>
  <c r="H4080" i="4"/>
  <c r="I4080" i="4" s="1"/>
  <c r="K4079" i="4"/>
  <c r="J4079" i="4"/>
  <c r="H4079" i="4"/>
  <c r="I4079" i="4" s="1"/>
  <c r="K4078" i="4"/>
  <c r="J4078" i="4"/>
  <c r="H4078" i="4"/>
  <c r="I4078" i="4" s="1"/>
  <c r="K4077" i="4"/>
  <c r="J4077" i="4"/>
  <c r="H4077" i="4"/>
  <c r="I4077" i="4" s="1"/>
  <c r="K4076" i="4"/>
  <c r="J4076" i="4"/>
  <c r="H4076" i="4"/>
  <c r="I4076" i="4" s="1"/>
  <c r="K4075" i="4"/>
  <c r="J4075" i="4"/>
  <c r="H4075" i="4"/>
  <c r="I4075" i="4" s="1"/>
  <c r="K4074" i="4"/>
  <c r="J4074" i="4"/>
  <c r="H4074" i="4"/>
  <c r="I4074" i="4" s="1"/>
  <c r="K4073" i="4"/>
  <c r="J4073" i="4"/>
  <c r="H4073" i="4"/>
  <c r="I4073" i="4" s="1"/>
  <c r="K4072" i="4"/>
  <c r="J4072" i="4"/>
  <c r="H4072" i="4"/>
  <c r="I4072" i="4" s="1"/>
  <c r="K4071" i="4"/>
  <c r="J4071" i="4"/>
  <c r="H4071" i="4"/>
  <c r="I4071" i="4" s="1"/>
  <c r="K4070" i="4"/>
  <c r="J4070" i="4"/>
  <c r="H4070" i="4"/>
  <c r="I4070" i="4" s="1"/>
  <c r="K4069" i="4"/>
  <c r="J4069" i="4"/>
  <c r="H4069" i="4"/>
  <c r="I4069" i="4" s="1"/>
  <c r="K4068" i="4"/>
  <c r="J4068" i="4"/>
  <c r="H4068" i="4"/>
  <c r="I4068" i="4" s="1"/>
  <c r="K4067" i="4"/>
  <c r="J4067" i="4"/>
  <c r="H4067" i="4"/>
  <c r="I4067" i="4" s="1"/>
  <c r="K4066" i="4"/>
  <c r="J4066" i="4"/>
  <c r="H4066" i="4"/>
  <c r="I4066" i="4" s="1"/>
  <c r="K4065" i="4"/>
  <c r="J4065" i="4"/>
  <c r="H4065" i="4"/>
  <c r="I4065" i="4" s="1"/>
  <c r="K4064" i="4"/>
  <c r="J4064" i="4"/>
  <c r="H4064" i="4"/>
  <c r="I4064" i="4" s="1"/>
  <c r="K4063" i="4"/>
  <c r="J4063" i="4"/>
  <c r="H4063" i="4"/>
  <c r="I4063" i="4" s="1"/>
  <c r="K4062" i="4"/>
  <c r="J4062" i="4"/>
  <c r="H4062" i="4"/>
  <c r="I4062" i="4" s="1"/>
  <c r="K4061" i="4"/>
  <c r="J4061" i="4"/>
  <c r="H4061" i="4"/>
  <c r="I4061" i="4" s="1"/>
  <c r="K4060" i="4"/>
  <c r="J4060" i="4"/>
  <c r="H4060" i="4"/>
  <c r="I4060" i="4" s="1"/>
  <c r="K4059" i="4"/>
  <c r="J4059" i="4"/>
  <c r="H4059" i="4"/>
  <c r="I4059" i="4" s="1"/>
  <c r="K4058" i="4"/>
  <c r="J4058" i="4"/>
  <c r="H4058" i="4"/>
  <c r="I4058" i="4" s="1"/>
  <c r="K4057" i="4"/>
  <c r="J4057" i="4"/>
  <c r="H4057" i="4"/>
  <c r="I4057" i="4" s="1"/>
  <c r="K4056" i="4"/>
  <c r="J4056" i="4"/>
  <c r="H4056" i="4"/>
  <c r="I4056" i="4" s="1"/>
  <c r="K4055" i="4"/>
  <c r="J4055" i="4"/>
  <c r="H4055" i="4"/>
  <c r="I4055" i="4" s="1"/>
  <c r="K4054" i="4"/>
  <c r="J4054" i="4"/>
  <c r="H4054" i="4"/>
  <c r="I4054" i="4" s="1"/>
  <c r="K4053" i="4"/>
  <c r="J4053" i="4"/>
  <c r="H4053" i="4"/>
  <c r="I4053" i="4" s="1"/>
  <c r="K4052" i="4"/>
  <c r="J4052" i="4"/>
  <c r="H4052" i="4"/>
  <c r="I4052" i="4" s="1"/>
  <c r="K4051" i="4"/>
  <c r="J4051" i="4"/>
  <c r="H4051" i="4"/>
  <c r="I4051" i="4" s="1"/>
  <c r="K4050" i="4"/>
  <c r="J4050" i="4"/>
  <c r="H4050" i="4"/>
  <c r="I4050" i="4" s="1"/>
  <c r="K4049" i="4"/>
  <c r="J4049" i="4"/>
  <c r="H4049" i="4"/>
  <c r="I4049" i="4" s="1"/>
  <c r="K4048" i="4"/>
  <c r="J4048" i="4"/>
  <c r="H4048" i="4"/>
  <c r="I4048" i="4" s="1"/>
  <c r="K4047" i="4"/>
  <c r="J4047" i="4"/>
  <c r="H4047" i="4"/>
  <c r="I4047" i="4" s="1"/>
  <c r="K4046" i="4"/>
  <c r="J4046" i="4"/>
  <c r="H4046" i="4"/>
  <c r="I4046" i="4" s="1"/>
  <c r="K4045" i="4"/>
  <c r="J4045" i="4"/>
  <c r="H4045" i="4"/>
  <c r="I4045" i="4" s="1"/>
  <c r="K4044" i="4"/>
  <c r="J4044" i="4"/>
  <c r="H4044" i="4"/>
  <c r="I4044" i="4" s="1"/>
  <c r="K4043" i="4"/>
  <c r="J4043" i="4"/>
  <c r="H4043" i="4"/>
  <c r="I4043" i="4" s="1"/>
  <c r="K4042" i="4"/>
  <c r="J4042" i="4"/>
  <c r="H4042" i="4"/>
  <c r="I4042" i="4" s="1"/>
  <c r="K4041" i="4"/>
  <c r="J4041" i="4"/>
  <c r="H4041" i="4"/>
  <c r="I4041" i="4" s="1"/>
  <c r="K4040" i="4"/>
  <c r="J4040" i="4"/>
  <c r="H4040" i="4"/>
  <c r="I4040" i="4" s="1"/>
  <c r="K4039" i="4"/>
  <c r="J4039" i="4"/>
  <c r="H4039" i="4"/>
  <c r="I4039" i="4" s="1"/>
  <c r="K4038" i="4"/>
  <c r="J4038" i="4"/>
  <c r="H4038" i="4"/>
  <c r="I4038" i="4" s="1"/>
  <c r="K4037" i="4"/>
  <c r="J4037" i="4"/>
  <c r="H4037" i="4"/>
  <c r="I4037" i="4" s="1"/>
  <c r="K4036" i="4"/>
  <c r="J4036" i="4"/>
  <c r="H4036" i="4"/>
  <c r="I4036" i="4" s="1"/>
  <c r="K4035" i="4"/>
  <c r="J4035" i="4"/>
  <c r="H4035" i="4"/>
  <c r="I4035" i="4" s="1"/>
  <c r="K4034" i="4"/>
  <c r="J4034" i="4"/>
  <c r="H4034" i="4"/>
  <c r="I4034" i="4" s="1"/>
  <c r="K4033" i="4"/>
  <c r="J4033" i="4"/>
  <c r="H4033" i="4"/>
  <c r="I4033" i="4" s="1"/>
  <c r="K4032" i="4"/>
  <c r="J4032" i="4"/>
  <c r="H4032" i="4"/>
  <c r="I4032" i="4" s="1"/>
  <c r="K4031" i="4"/>
  <c r="J4031" i="4"/>
  <c r="H4031" i="4"/>
  <c r="I4031" i="4" s="1"/>
  <c r="K4030" i="4"/>
  <c r="J4030" i="4"/>
  <c r="H4030" i="4"/>
  <c r="I4030" i="4" s="1"/>
  <c r="K4029" i="4"/>
  <c r="J4029" i="4"/>
  <c r="H4029" i="4"/>
  <c r="I4029" i="4" s="1"/>
  <c r="K4028" i="4"/>
  <c r="J4028" i="4"/>
  <c r="H4028" i="4"/>
  <c r="I4028" i="4" s="1"/>
  <c r="K4027" i="4"/>
  <c r="J4027" i="4"/>
  <c r="H4027" i="4"/>
  <c r="I4027" i="4" s="1"/>
  <c r="K4026" i="4"/>
  <c r="J4026" i="4"/>
  <c r="H4026" i="4"/>
  <c r="I4026" i="4" s="1"/>
  <c r="K4025" i="4"/>
  <c r="J4025" i="4"/>
  <c r="H4025" i="4"/>
  <c r="I4025" i="4" s="1"/>
  <c r="K4024" i="4"/>
  <c r="J4024" i="4"/>
  <c r="H4024" i="4"/>
  <c r="I4024" i="4" s="1"/>
  <c r="K4023" i="4"/>
  <c r="J4023" i="4"/>
  <c r="H4023" i="4"/>
  <c r="I4023" i="4" s="1"/>
  <c r="K4022" i="4"/>
  <c r="J4022" i="4"/>
  <c r="H4022" i="4"/>
  <c r="I4022" i="4" s="1"/>
  <c r="K4021" i="4"/>
  <c r="J4021" i="4"/>
  <c r="H4021" i="4"/>
  <c r="I4021" i="4" s="1"/>
  <c r="K4020" i="4"/>
  <c r="J4020" i="4"/>
  <c r="H4020" i="4"/>
  <c r="I4020" i="4" s="1"/>
  <c r="K4019" i="4"/>
  <c r="J4019" i="4"/>
  <c r="H4019" i="4"/>
  <c r="I4019" i="4" s="1"/>
  <c r="K4018" i="4"/>
  <c r="J4018" i="4"/>
  <c r="H4018" i="4"/>
  <c r="I4018" i="4" s="1"/>
  <c r="K4017" i="4"/>
  <c r="J4017" i="4"/>
  <c r="H4017" i="4"/>
  <c r="I4017" i="4" s="1"/>
  <c r="K4016" i="4"/>
  <c r="J4016" i="4"/>
  <c r="H4016" i="4"/>
  <c r="I4016" i="4" s="1"/>
  <c r="K4015" i="4"/>
  <c r="J4015" i="4"/>
  <c r="H4015" i="4"/>
  <c r="I4015" i="4" s="1"/>
  <c r="K4014" i="4"/>
  <c r="J4014" i="4"/>
  <c r="H4014" i="4"/>
  <c r="I4014" i="4" s="1"/>
  <c r="K4013" i="4"/>
  <c r="J4013" i="4"/>
  <c r="H4013" i="4"/>
  <c r="I4013" i="4" s="1"/>
  <c r="K4012" i="4"/>
  <c r="J4012" i="4"/>
  <c r="H4012" i="4"/>
  <c r="I4012" i="4" s="1"/>
  <c r="K4011" i="4"/>
  <c r="J4011" i="4"/>
  <c r="H4011" i="4"/>
  <c r="I4011" i="4" s="1"/>
  <c r="K4010" i="4"/>
  <c r="J4010" i="4"/>
  <c r="H4010" i="4"/>
  <c r="I4010" i="4" s="1"/>
  <c r="K4009" i="4"/>
  <c r="J4009" i="4"/>
  <c r="H4009" i="4"/>
  <c r="I4009" i="4" s="1"/>
  <c r="K4008" i="4"/>
  <c r="J4008" i="4"/>
  <c r="H4008" i="4"/>
  <c r="I4008" i="4" s="1"/>
  <c r="K4007" i="4"/>
  <c r="J4007" i="4"/>
  <c r="H4007" i="4"/>
  <c r="I4007" i="4" s="1"/>
  <c r="K4006" i="4"/>
  <c r="J4006" i="4"/>
  <c r="H4006" i="4"/>
  <c r="I4006" i="4" s="1"/>
  <c r="K4005" i="4"/>
  <c r="J4005" i="4"/>
  <c r="H4005" i="4"/>
  <c r="I4005" i="4" s="1"/>
  <c r="K4004" i="4"/>
  <c r="J4004" i="4"/>
  <c r="H4004" i="4"/>
  <c r="I4004" i="4" s="1"/>
  <c r="K4003" i="4"/>
  <c r="J4003" i="4"/>
  <c r="H4003" i="4"/>
  <c r="I4003" i="4" s="1"/>
  <c r="K4002" i="4"/>
  <c r="J4002" i="4"/>
  <c r="H4002" i="4"/>
  <c r="I4002" i="4" s="1"/>
  <c r="K4001" i="4"/>
  <c r="J4001" i="4"/>
  <c r="H4001" i="4"/>
  <c r="I4001" i="4" s="1"/>
  <c r="K4000" i="4"/>
  <c r="J4000" i="4"/>
  <c r="H4000" i="4"/>
  <c r="I4000" i="4" s="1"/>
  <c r="K3999" i="4"/>
  <c r="J3999" i="4"/>
  <c r="H3999" i="4"/>
  <c r="I3999" i="4" s="1"/>
  <c r="K3998" i="4"/>
  <c r="J3998" i="4"/>
  <c r="H3998" i="4"/>
  <c r="I3998" i="4" s="1"/>
  <c r="K3997" i="4"/>
  <c r="J3997" i="4"/>
  <c r="H3997" i="4"/>
  <c r="I3997" i="4" s="1"/>
  <c r="K3996" i="4"/>
  <c r="J3996" i="4"/>
  <c r="H3996" i="4"/>
  <c r="I3996" i="4" s="1"/>
  <c r="K3995" i="4"/>
  <c r="J3995" i="4"/>
  <c r="H3995" i="4"/>
  <c r="I3995" i="4" s="1"/>
  <c r="K3994" i="4"/>
  <c r="J3994" i="4"/>
  <c r="H3994" i="4"/>
  <c r="I3994" i="4" s="1"/>
  <c r="K3993" i="4"/>
  <c r="J3993" i="4"/>
  <c r="H3993" i="4"/>
  <c r="I3993" i="4" s="1"/>
  <c r="K3992" i="4"/>
  <c r="J3992" i="4"/>
  <c r="H3992" i="4"/>
  <c r="I3992" i="4" s="1"/>
  <c r="K3991" i="4"/>
  <c r="J3991" i="4"/>
  <c r="H3991" i="4"/>
  <c r="I3991" i="4" s="1"/>
  <c r="K3990" i="4"/>
  <c r="J3990" i="4"/>
  <c r="H3990" i="4"/>
  <c r="I3990" i="4" s="1"/>
  <c r="K3989" i="4"/>
  <c r="J3989" i="4"/>
  <c r="H3989" i="4"/>
  <c r="I3989" i="4" s="1"/>
  <c r="K3988" i="4"/>
  <c r="J3988" i="4"/>
  <c r="H3988" i="4"/>
  <c r="I3988" i="4" s="1"/>
  <c r="K3987" i="4"/>
  <c r="J3987" i="4"/>
  <c r="H3987" i="4"/>
  <c r="I3987" i="4" s="1"/>
  <c r="K3986" i="4"/>
  <c r="J3986" i="4"/>
  <c r="H3986" i="4"/>
  <c r="I3986" i="4" s="1"/>
  <c r="K3985" i="4"/>
  <c r="J3985" i="4"/>
  <c r="H3985" i="4"/>
  <c r="I3985" i="4" s="1"/>
  <c r="K3984" i="4"/>
  <c r="J3984" i="4"/>
  <c r="H3984" i="4"/>
  <c r="I3984" i="4" s="1"/>
  <c r="K3983" i="4"/>
  <c r="J3983" i="4"/>
  <c r="H3983" i="4"/>
  <c r="I3983" i="4" s="1"/>
  <c r="K3982" i="4"/>
  <c r="J3982" i="4"/>
  <c r="H3982" i="4"/>
  <c r="I3982" i="4" s="1"/>
  <c r="K3981" i="4"/>
  <c r="J3981" i="4"/>
  <c r="H3981" i="4"/>
  <c r="I3981" i="4" s="1"/>
  <c r="K3980" i="4"/>
  <c r="J3980" i="4"/>
  <c r="H3980" i="4"/>
  <c r="I3980" i="4" s="1"/>
  <c r="K3979" i="4"/>
  <c r="J3979" i="4"/>
  <c r="H3979" i="4"/>
  <c r="I3979" i="4" s="1"/>
  <c r="K3978" i="4"/>
  <c r="J3978" i="4"/>
  <c r="H3978" i="4"/>
  <c r="I3978" i="4" s="1"/>
  <c r="K3977" i="4"/>
  <c r="J3977" i="4"/>
  <c r="H3977" i="4"/>
  <c r="I3977" i="4" s="1"/>
  <c r="K3976" i="4"/>
  <c r="J3976" i="4"/>
  <c r="H3976" i="4"/>
  <c r="I3976" i="4" s="1"/>
  <c r="K3975" i="4"/>
  <c r="J3975" i="4"/>
  <c r="H3975" i="4"/>
  <c r="I3975" i="4" s="1"/>
  <c r="K3974" i="4"/>
  <c r="J3974" i="4"/>
  <c r="H3974" i="4"/>
  <c r="I3974" i="4" s="1"/>
  <c r="K3973" i="4"/>
  <c r="J3973" i="4"/>
  <c r="H3973" i="4"/>
  <c r="I3973" i="4" s="1"/>
  <c r="K3972" i="4"/>
  <c r="J3972" i="4"/>
  <c r="H3972" i="4"/>
  <c r="I3972" i="4" s="1"/>
  <c r="K3971" i="4"/>
  <c r="J3971" i="4"/>
  <c r="H3971" i="4"/>
  <c r="I3971" i="4" s="1"/>
  <c r="K3970" i="4"/>
  <c r="J3970" i="4"/>
  <c r="H3970" i="4"/>
  <c r="I3970" i="4" s="1"/>
  <c r="K3969" i="4"/>
  <c r="J3969" i="4"/>
  <c r="H3969" i="4"/>
  <c r="I3969" i="4" s="1"/>
  <c r="K3968" i="4"/>
  <c r="J3968" i="4"/>
  <c r="H3968" i="4"/>
  <c r="I3968" i="4" s="1"/>
  <c r="K3967" i="4"/>
  <c r="J3967" i="4"/>
  <c r="H3967" i="4"/>
  <c r="I3967" i="4" s="1"/>
  <c r="K3966" i="4"/>
  <c r="J3966" i="4"/>
  <c r="H3966" i="4"/>
  <c r="I3966" i="4" s="1"/>
  <c r="K3965" i="4"/>
  <c r="J3965" i="4"/>
  <c r="H3965" i="4"/>
  <c r="I3965" i="4" s="1"/>
  <c r="K3964" i="4"/>
  <c r="J3964" i="4"/>
  <c r="H3964" i="4"/>
  <c r="I3964" i="4" s="1"/>
  <c r="K3963" i="4"/>
  <c r="J3963" i="4"/>
  <c r="H3963" i="4"/>
  <c r="I3963" i="4" s="1"/>
  <c r="K3962" i="4"/>
  <c r="J3962" i="4"/>
  <c r="H3962" i="4"/>
  <c r="I3962" i="4" s="1"/>
  <c r="K3961" i="4"/>
  <c r="J3961" i="4"/>
  <c r="H3961" i="4"/>
  <c r="I3961" i="4" s="1"/>
  <c r="K3960" i="4"/>
  <c r="J3960" i="4"/>
  <c r="H3960" i="4"/>
  <c r="I3960" i="4" s="1"/>
  <c r="K3959" i="4"/>
  <c r="J3959" i="4"/>
  <c r="H3959" i="4"/>
  <c r="I3959" i="4" s="1"/>
  <c r="K3958" i="4"/>
  <c r="J3958" i="4"/>
  <c r="H3958" i="4"/>
  <c r="I3958" i="4" s="1"/>
  <c r="K3957" i="4"/>
  <c r="J3957" i="4"/>
  <c r="H3957" i="4"/>
  <c r="I3957" i="4" s="1"/>
  <c r="K3956" i="4"/>
  <c r="J3956" i="4"/>
  <c r="H3956" i="4"/>
  <c r="I3956" i="4" s="1"/>
  <c r="K3955" i="4"/>
  <c r="J3955" i="4"/>
  <c r="H3955" i="4"/>
  <c r="I3955" i="4" s="1"/>
  <c r="K3954" i="4"/>
  <c r="J3954" i="4"/>
  <c r="H3954" i="4"/>
  <c r="I3954" i="4" s="1"/>
  <c r="K3953" i="4"/>
  <c r="J3953" i="4"/>
  <c r="H3953" i="4"/>
  <c r="I3953" i="4" s="1"/>
  <c r="K3952" i="4"/>
  <c r="J3952" i="4"/>
  <c r="H3952" i="4"/>
  <c r="I3952" i="4" s="1"/>
  <c r="K3951" i="4"/>
  <c r="J3951" i="4"/>
  <c r="H3951" i="4"/>
  <c r="I3951" i="4" s="1"/>
  <c r="K3950" i="4"/>
  <c r="J3950" i="4"/>
  <c r="H3950" i="4"/>
  <c r="I3950" i="4" s="1"/>
  <c r="K3949" i="4"/>
  <c r="J3949" i="4"/>
  <c r="H3949" i="4"/>
  <c r="I3949" i="4" s="1"/>
  <c r="K3948" i="4"/>
  <c r="J3948" i="4"/>
  <c r="H3948" i="4"/>
  <c r="I3948" i="4" s="1"/>
  <c r="K3947" i="4"/>
  <c r="J3947" i="4"/>
  <c r="H3947" i="4"/>
  <c r="I3947" i="4" s="1"/>
  <c r="K3946" i="4"/>
  <c r="J3946" i="4"/>
  <c r="H3946" i="4"/>
  <c r="I3946" i="4" s="1"/>
  <c r="K3945" i="4"/>
  <c r="J3945" i="4"/>
  <c r="H3945" i="4"/>
  <c r="I3945" i="4" s="1"/>
  <c r="K3944" i="4"/>
  <c r="J3944" i="4"/>
  <c r="H3944" i="4"/>
  <c r="I3944" i="4" s="1"/>
  <c r="K3943" i="4"/>
  <c r="J3943" i="4"/>
  <c r="H3943" i="4"/>
  <c r="I3943" i="4" s="1"/>
  <c r="K3942" i="4"/>
  <c r="J3942" i="4"/>
  <c r="H3942" i="4"/>
  <c r="I3942" i="4" s="1"/>
  <c r="K3941" i="4"/>
  <c r="J3941" i="4"/>
  <c r="H3941" i="4"/>
  <c r="I3941" i="4" s="1"/>
  <c r="K3940" i="4"/>
  <c r="J3940" i="4"/>
  <c r="H3940" i="4"/>
  <c r="I3940" i="4" s="1"/>
  <c r="K3939" i="4"/>
  <c r="J3939" i="4"/>
  <c r="H3939" i="4"/>
  <c r="I3939" i="4" s="1"/>
  <c r="K3938" i="4"/>
  <c r="J3938" i="4"/>
  <c r="H3938" i="4"/>
  <c r="I3938" i="4" s="1"/>
  <c r="K3937" i="4"/>
  <c r="J3937" i="4"/>
  <c r="H3937" i="4"/>
  <c r="I3937" i="4" s="1"/>
  <c r="K3936" i="4"/>
  <c r="J3936" i="4"/>
  <c r="H3936" i="4"/>
  <c r="I3936" i="4" s="1"/>
  <c r="K3935" i="4"/>
  <c r="J3935" i="4"/>
  <c r="H3935" i="4"/>
  <c r="I3935" i="4" s="1"/>
  <c r="K3934" i="4"/>
  <c r="J3934" i="4"/>
  <c r="H3934" i="4"/>
  <c r="I3934" i="4" s="1"/>
  <c r="K3933" i="4"/>
  <c r="J3933" i="4"/>
  <c r="H3933" i="4"/>
  <c r="I3933" i="4" s="1"/>
  <c r="K3932" i="4"/>
  <c r="J3932" i="4"/>
  <c r="H3932" i="4"/>
  <c r="I3932" i="4" s="1"/>
  <c r="K3931" i="4"/>
  <c r="J3931" i="4"/>
  <c r="H3931" i="4"/>
  <c r="I3931" i="4" s="1"/>
  <c r="K3930" i="4"/>
  <c r="J3930" i="4"/>
  <c r="H3930" i="4"/>
  <c r="I3930" i="4" s="1"/>
  <c r="K3929" i="4"/>
  <c r="J3929" i="4"/>
  <c r="H3929" i="4"/>
  <c r="I3929" i="4" s="1"/>
  <c r="K3928" i="4"/>
  <c r="J3928" i="4"/>
  <c r="H3928" i="4"/>
  <c r="I3928" i="4" s="1"/>
  <c r="K3927" i="4"/>
  <c r="J3927" i="4"/>
  <c r="H3927" i="4"/>
  <c r="I3927" i="4" s="1"/>
  <c r="K3926" i="4"/>
  <c r="J3926" i="4"/>
  <c r="H3926" i="4"/>
  <c r="I3926" i="4" s="1"/>
  <c r="K3925" i="4"/>
  <c r="J3925" i="4"/>
  <c r="H3925" i="4"/>
  <c r="I3925" i="4" s="1"/>
  <c r="K3924" i="4"/>
  <c r="J3924" i="4"/>
  <c r="H3924" i="4"/>
  <c r="I3924" i="4" s="1"/>
  <c r="K3923" i="4"/>
  <c r="J3923" i="4"/>
  <c r="H3923" i="4"/>
  <c r="I3923" i="4" s="1"/>
  <c r="K3922" i="4"/>
  <c r="J3922" i="4"/>
  <c r="H3922" i="4"/>
  <c r="I3922" i="4" s="1"/>
  <c r="K3921" i="4"/>
  <c r="J3921" i="4"/>
  <c r="H3921" i="4"/>
  <c r="I3921" i="4" s="1"/>
  <c r="K3920" i="4"/>
  <c r="J3920" i="4"/>
  <c r="H3920" i="4"/>
  <c r="I3920" i="4" s="1"/>
  <c r="K3919" i="4"/>
  <c r="J3919" i="4"/>
  <c r="H3919" i="4"/>
  <c r="I3919" i="4" s="1"/>
  <c r="K3918" i="4"/>
  <c r="J3918" i="4"/>
  <c r="H3918" i="4"/>
  <c r="I3918" i="4" s="1"/>
  <c r="K3917" i="4"/>
  <c r="J3917" i="4"/>
  <c r="H3917" i="4"/>
  <c r="I3917" i="4" s="1"/>
  <c r="K3916" i="4"/>
  <c r="J3916" i="4"/>
  <c r="H3916" i="4"/>
  <c r="I3916" i="4" s="1"/>
  <c r="K3915" i="4"/>
  <c r="J3915" i="4"/>
  <c r="H3915" i="4"/>
  <c r="I3915" i="4" s="1"/>
  <c r="K3914" i="4"/>
  <c r="J3914" i="4"/>
  <c r="H3914" i="4"/>
  <c r="I3914" i="4" s="1"/>
  <c r="K3913" i="4"/>
  <c r="J3913" i="4"/>
  <c r="H3913" i="4"/>
  <c r="I3913" i="4" s="1"/>
  <c r="K3912" i="4"/>
  <c r="J3912" i="4"/>
  <c r="H3912" i="4"/>
  <c r="I3912" i="4" s="1"/>
  <c r="K3911" i="4"/>
  <c r="J3911" i="4"/>
  <c r="H3911" i="4"/>
  <c r="I3911" i="4" s="1"/>
  <c r="K3910" i="4"/>
  <c r="J3910" i="4"/>
  <c r="H3910" i="4"/>
  <c r="I3910" i="4" s="1"/>
  <c r="K3909" i="4"/>
  <c r="J3909" i="4"/>
  <c r="H3909" i="4"/>
  <c r="I3909" i="4" s="1"/>
  <c r="K3908" i="4"/>
  <c r="J3908" i="4"/>
  <c r="H3908" i="4"/>
  <c r="I3908" i="4" s="1"/>
  <c r="K3907" i="4"/>
  <c r="J3907" i="4"/>
  <c r="H3907" i="4"/>
  <c r="I3907" i="4" s="1"/>
  <c r="K3906" i="4"/>
  <c r="J3906" i="4"/>
  <c r="H3906" i="4"/>
  <c r="I3906" i="4" s="1"/>
  <c r="K3905" i="4"/>
  <c r="J3905" i="4"/>
  <c r="H3905" i="4"/>
  <c r="I3905" i="4" s="1"/>
  <c r="K3904" i="4"/>
  <c r="J3904" i="4"/>
  <c r="H3904" i="4"/>
  <c r="I3904" i="4" s="1"/>
  <c r="K3903" i="4"/>
  <c r="J3903" i="4"/>
  <c r="H3903" i="4"/>
  <c r="I3903" i="4" s="1"/>
  <c r="K3902" i="4"/>
  <c r="J3902" i="4"/>
  <c r="H3902" i="4"/>
  <c r="I3902" i="4" s="1"/>
  <c r="K3901" i="4"/>
  <c r="J3901" i="4"/>
  <c r="H3901" i="4"/>
  <c r="I3901" i="4" s="1"/>
  <c r="K3900" i="4"/>
  <c r="J3900" i="4"/>
  <c r="H3900" i="4"/>
  <c r="I3900" i="4" s="1"/>
  <c r="K3899" i="4"/>
  <c r="J3899" i="4"/>
  <c r="H3899" i="4"/>
  <c r="I3899" i="4" s="1"/>
  <c r="K3898" i="4"/>
  <c r="J3898" i="4"/>
  <c r="H3898" i="4"/>
  <c r="I3898" i="4" s="1"/>
  <c r="K3897" i="4"/>
  <c r="J3897" i="4"/>
  <c r="H3897" i="4"/>
  <c r="I3897" i="4" s="1"/>
  <c r="K3896" i="4"/>
  <c r="J3896" i="4"/>
  <c r="H3896" i="4"/>
  <c r="I3896" i="4" s="1"/>
  <c r="K3895" i="4"/>
  <c r="J3895" i="4"/>
  <c r="H3895" i="4"/>
  <c r="I3895" i="4" s="1"/>
  <c r="K3894" i="4"/>
  <c r="J3894" i="4"/>
  <c r="H3894" i="4"/>
  <c r="I3894" i="4" s="1"/>
  <c r="K3893" i="4"/>
  <c r="J3893" i="4"/>
  <c r="H3893" i="4"/>
  <c r="I3893" i="4" s="1"/>
  <c r="K3892" i="4"/>
  <c r="J3892" i="4"/>
  <c r="H3892" i="4"/>
  <c r="I3892" i="4" s="1"/>
  <c r="K3891" i="4"/>
  <c r="J3891" i="4"/>
  <c r="H3891" i="4"/>
  <c r="I3891" i="4" s="1"/>
  <c r="K3890" i="4"/>
  <c r="J3890" i="4"/>
  <c r="H3890" i="4"/>
  <c r="I3890" i="4" s="1"/>
  <c r="K3889" i="4"/>
  <c r="J3889" i="4"/>
  <c r="H3889" i="4"/>
  <c r="I3889" i="4" s="1"/>
  <c r="K3888" i="4"/>
  <c r="J3888" i="4"/>
  <c r="H3888" i="4"/>
  <c r="I3888" i="4" s="1"/>
  <c r="K3887" i="4"/>
  <c r="J3887" i="4"/>
  <c r="H3887" i="4"/>
  <c r="I3887" i="4" s="1"/>
  <c r="K3886" i="4"/>
  <c r="J3886" i="4"/>
  <c r="H3886" i="4"/>
  <c r="I3886" i="4" s="1"/>
  <c r="K3885" i="4"/>
  <c r="J3885" i="4"/>
  <c r="H3885" i="4"/>
  <c r="I3885" i="4" s="1"/>
  <c r="K3884" i="4"/>
  <c r="J3884" i="4"/>
  <c r="H3884" i="4"/>
  <c r="I3884" i="4" s="1"/>
  <c r="K3883" i="4"/>
  <c r="J3883" i="4"/>
  <c r="H3883" i="4"/>
  <c r="I3883" i="4" s="1"/>
  <c r="K3882" i="4"/>
  <c r="J3882" i="4"/>
  <c r="H3882" i="4"/>
  <c r="I3882" i="4" s="1"/>
  <c r="K3881" i="4"/>
  <c r="J3881" i="4"/>
  <c r="H3881" i="4"/>
  <c r="I3881" i="4" s="1"/>
  <c r="K3880" i="4"/>
  <c r="J3880" i="4"/>
  <c r="H3880" i="4"/>
  <c r="I3880" i="4" s="1"/>
  <c r="K3879" i="4"/>
  <c r="J3879" i="4"/>
  <c r="H3879" i="4"/>
  <c r="I3879" i="4" s="1"/>
  <c r="K3878" i="4"/>
  <c r="J3878" i="4"/>
  <c r="H3878" i="4"/>
  <c r="I3878" i="4" s="1"/>
  <c r="K3877" i="4"/>
  <c r="J3877" i="4"/>
  <c r="H3877" i="4"/>
  <c r="I3877" i="4" s="1"/>
  <c r="K3876" i="4"/>
  <c r="J3876" i="4"/>
  <c r="H3876" i="4"/>
  <c r="I3876" i="4" s="1"/>
  <c r="K3875" i="4"/>
  <c r="J3875" i="4"/>
  <c r="H3875" i="4"/>
  <c r="I3875" i="4" s="1"/>
  <c r="K3874" i="4"/>
  <c r="J3874" i="4"/>
  <c r="H3874" i="4"/>
  <c r="I3874" i="4" s="1"/>
  <c r="K3873" i="4"/>
  <c r="J3873" i="4"/>
  <c r="H3873" i="4"/>
  <c r="I3873" i="4" s="1"/>
  <c r="K3872" i="4"/>
  <c r="J3872" i="4"/>
  <c r="H3872" i="4"/>
  <c r="I3872" i="4" s="1"/>
  <c r="K3871" i="4"/>
  <c r="J3871" i="4"/>
  <c r="H3871" i="4"/>
  <c r="I3871" i="4" s="1"/>
  <c r="K3870" i="4"/>
  <c r="J3870" i="4"/>
  <c r="H3870" i="4"/>
  <c r="I3870" i="4" s="1"/>
  <c r="K3869" i="4"/>
  <c r="J3869" i="4"/>
  <c r="H3869" i="4"/>
  <c r="I3869" i="4" s="1"/>
  <c r="K3868" i="4"/>
  <c r="J3868" i="4"/>
  <c r="H3868" i="4"/>
  <c r="I3868" i="4" s="1"/>
  <c r="K3867" i="4"/>
  <c r="J3867" i="4"/>
  <c r="H3867" i="4"/>
  <c r="I3867" i="4" s="1"/>
  <c r="K3866" i="4"/>
  <c r="J3866" i="4"/>
  <c r="H3866" i="4"/>
  <c r="I3866" i="4" s="1"/>
  <c r="K3865" i="4"/>
  <c r="J3865" i="4"/>
  <c r="H3865" i="4"/>
  <c r="I3865" i="4" s="1"/>
  <c r="K3864" i="4"/>
  <c r="J3864" i="4"/>
  <c r="H3864" i="4"/>
  <c r="I3864" i="4" s="1"/>
  <c r="K3863" i="4"/>
  <c r="J3863" i="4"/>
  <c r="H3863" i="4"/>
  <c r="I3863" i="4" s="1"/>
  <c r="K3862" i="4"/>
  <c r="J3862" i="4"/>
  <c r="H3862" i="4"/>
  <c r="I3862" i="4" s="1"/>
  <c r="K3861" i="4"/>
  <c r="J3861" i="4"/>
  <c r="H3861" i="4"/>
  <c r="I3861" i="4" s="1"/>
  <c r="K3860" i="4"/>
  <c r="J3860" i="4"/>
  <c r="H3860" i="4"/>
  <c r="I3860" i="4" s="1"/>
  <c r="K3859" i="4"/>
  <c r="J3859" i="4"/>
  <c r="H3859" i="4"/>
  <c r="I3859" i="4" s="1"/>
  <c r="K3858" i="4"/>
  <c r="J3858" i="4"/>
  <c r="H3858" i="4"/>
  <c r="I3858" i="4" s="1"/>
  <c r="K3857" i="4"/>
  <c r="J3857" i="4"/>
  <c r="H3857" i="4"/>
  <c r="I3857" i="4" s="1"/>
  <c r="K3856" i="4"/>
  <c r="J3856" i="4"/>
  <c r="H3856" i="4"/>
  <c r="I3856" i="4" s="1"/>
  <c r="K3855" i="4"/>
  <c r="J3855" i="4"/>
  <c r="H3855" i="4"/>
  <c r="I3855" i="4" s="1"/>
  <c r="K3854" i="4"/>
  <c r="J3854" i="4"/>
  <c r="H3854" i="4"/>
  <c r="I3854" i="4" s="1"/>
  <c r="K3853" i="4"/>
  <c r="J3853" i="4"/>
  <c r="H3853" i="4"/>
  <c r="I3853" i="4" s="1"/>
  <c r="K3852" i="4"/>
  <c r="J3852" i="4"/>
  <c r="H3852" i="4"/>
  <c r="I3852" i="4" s="1"/>
  <c r="K3851" i="4"/>
  <c r="J3851" i="4"/>
  <c r="H3851" i="4"/>
  <c r="I3851" i="4" s="1"/>
  <c r="K3850" i="4"/>
  <c r="J3850" i="4"/>
  <c r="H3850" i="4"/>
  <c r="I3850" i="4" s="1"/>
  <c r="K3849" i="4"/>
  <c r="J3849" i="4"/>
  <c r="H3849" i="4"/>
  <c r="I3849" i="4" s="1"/>
  <c r="K3848" i="4"/>
  <c r="J3848" i="4"/>
  <c r="H3848" i="4"/>
  <c r="I3848" i="4" s="1"/>
  <c r="K3847" i="4"/>
  <c r="J3847" i="4"/>
  <c r="H3847" i="4"/>
  <c r="I3847" i="4" s="1"/>
  <c r="K3846" i="4"/>
  <c r="J3846" i="4"/>
  <c r="H3846" i="4"/>
  <c r="I3846" i="4" s="1"/>
  <c r="K3845" i="4"/>
  <c r="J3845" i="4"/>
  <c r="H3845" i="4"/>
  <c r="I3845" i="4" s="1"/>
  <c r="K3844" i="4"/>
  <c r="J3844" i="4"/>
  <c r="H3844" i="4"/>
  <c r="I3844" i="4" s="1"/>
  <c r="K3843" i="4"/>
  <c r="J3843" i="4"/>
  <c r="H3843" i="4"/>
  <c r="I3843" i="4" s="1"/>
  <c r="K3842" i="4"/>
  <c r="J3842" i="4"/>
  <c r="H3842" i="4"/>
  <c r="I3842" i="4" s="1"/>
  <c r="K3841" i="4"/>
  <c r="J3841" i="4"/>
  <c r="H3841" i="4"/>
  <c r="I3841" i="4" s="1"/>
  <c r="K3840" i="4"/>
  <c r="J3840" i="4"/>
  <c r="H3840" i="4"/>
  <c r="I3840" i="4" s="1"/>
  <c r="K3839" i="4"/>
  <c r="J3839" i="4"/>
  <c r="H3839" i="4"/>
  <c r="I3839" i="4" s="1"/>
  <c r="K3838" i="4"/>
  <c r="J3838" i="4"/>
  <c r="H3838" i="4"/>
  <c r="I3838" i="4" s="1"/>
  <c r="K3837" i="4"/>
  <c r="J3837" i="4"/>
  <c r="H3837" i="4"/>
  <c r="I3837" i="4" s="1"/>
  <c r="K3836" i="4"/>
  <c r="J3836" i="4"/>
  <c r="H3836" i="4"/>
  <c r="I3836" i="4" s="1"/>
  <c r="K3835" i="4"/>
  <c r="J3835" i="4"/>
  <c r="H3835" i="4"/>
  <c r="I3835" i="4" s="1"/>
  <c r="K3834" i="4"/>
  <c r="J3834" i="4"/>
  <c r="H3834" i="4"/>
  <c r="I3834" i="4" s="1"/>
  <c r="K3833" i="4"/>
  <c r="J3833" i="4"/>
  <c r="H3833" i="4"/>
  <c r="I3833" i="4" s="1"/>
  <c r="K3832" i="4"/>
  <c r="J3832" i="4"/>
  <c r="H3832" i="4"/>
  <c r="I3832" i="4" s="1"/>
  <c r="K3831" i="4"/>
  <c r="J3831" i="4"/>
  <c r="H3831" i="4"/>
  <c r="I3831" i="4" s="1"/>
  <c r="K3830" i="4"/>
  <c r="J3830" i="4"/>
  <c r="H3830" i="4"/>
  <c r="I3830" i="4" s="1"/>
  <c r="K3829" i="4"/>
  <c r="J3829" i="4"/>
  <c r="H3829" i="4"/>
  <c r="I3829" i="4" s="1"/>
  <c r="K3828" i="4"/>
  <c r="J3828" i="4"/>
  <c r="H3828" i="4"/>
  <c r="I3828" i="4" s="1"/>
  <c r="K3827" i="4"/>
  <c r="J3827" i="4"/>
  <c r="H3827" i="4"/>
  <c r="I3827" i="4" s="1"/>
  <c r="K3826" i="4"/>
  <c r="J3826" i="4"/>
  <c r="H3826" i="4"/>
  <c r="I3826" i="4" s="1"/>
  <c r="K3825" i="4"/>
  <c r="J3825" i="4"/>
  <c r="H3825" i="4"/>
  <c r="I3825" i="4" s="1"/>
  <c r="K3824" i="4"/>
  <c r="J3824" i="4"/>
  <c r="H3824" i="4"/>
  <c r="I3824" i="4" s="1"/>
  <c r="K3823" i="4"/>
  <c r="J3823" i="4"/>
  <c r="H3823" i="4"/>
  <c r="I3823" i="4" s="1"/>
  <c r="K3822" i="4"/>
  <c r="J3822" i="4"/>
  <c r="H3822" i="4"/>
  <c r="I3822" i="4" s="1"/>
  <c r="K3821" i="4"/>
  <c r="J3821" i="4"/>
  <c r="H3821" i="4"/>
  <c r="I3821" i="4" s="1"/>
  <c r="K3820" i="4"/>
  <c r="J3820" i="4"/>
  <c r="H3820" i="4"/>
  <c r="I3820" i="4" s="1"/>
  <c r="K3819" i="4"/>
  <c r="J3819" i="4"/>
  <c r="H3819" i="4"/>
  <c r="I3819" i="4" s="1"/>
  <c r="K3818" i="4"/>
  <c r="J3818" i="4"/>
  <c r="H3818" i="4"/>
  <c r="I3818" i="4" s="1"/>
  <c r="K3817" i="4"/>
  <c r="J3817" i="4"/>
  <c r="H3817" i="4"/>
  <c r="I3817" i="4" s="1"/>
  <c r="K3816" i="4"/>
  <c r="J3816" i="4"/>
  <c r="H3816" i="4"/>
  <c r="I3816" i="4" s="1"/>
  <c r="K3815" i="4"/>
  <c r="J3815" i="4"/>
  <c r="H3815" i="4"/>
  <c r="I3815" i="4" s="1"/>
  <c r="K3814" i="4"/>
  <c r="J3814" i="4"/>
  <c r="H3814" i="4"/>
  <c r="I3814" i="4" s="1"/>
  <c r="K3813" i="4"/>
  <c r="J3813" i="4"/>
  <c r="H3813" i="4"/>
  <c r="I3813" i="4" s="1"/>
  <c r="K3812" i="4"/>
  <c r="J3812" i="4"/>
  <c r="H3812" i="4"/>
  <c r="I3812" i="4" s="1"/>
  <c r="K3811" i="4"/>
  <c r="J3811" i="4"/>
  <c r="H3811" i="4"/>
  <c r="I3811" i="4" s="1"/>
  <c r="K3810" i="4"/>
  <c r="J3810" i="4"/>
  <c r="H3810" i="4"/>
  <c r="I3810" i="4" s="1"/>
  <c r="K3809" i="4"/>
  <c r="J3809" i="4"/>
  <c r="H3809" i="4"/>
  <c r="I3809" i="4" s="1"/>
  <c r="K3808" i="4"/>
  <c r="J3808" i="4"/>
  <c r="H3808" i="4"/>
  <c r="I3808" i="4" s="1"/>
  <c r="K3807" i="4"/>
  <c r="J3807" i="4"/>
  <c r="H3807" i="4"/>
  <c r="I3807" i="4" s="1"/>
  <c r="K3806" i="4"/>
  <c r="J3806" i="4"/>
  <c r="H3806" i="4"/>
  <c r="I3806" i="4" s="1"/>
  <c r="K3805" i="4"/>
  <c r="J3805" i="4"/>
  <c r="H3805" i="4"/>
  <c r="I3805" i="4" s="1"/>
  <c r="K3804" i="4"/>
  <c r="J3804" i="4"/>
  <c r="H3804" i="4"/>
  <c r="I3804" i="4" s="1"/>
  <c r="K3803" i="4"/>
  <c r="J3803" i="4"/>
  <c r="H3803" i="4"/>
  <c r="I3803" i="4" s="1"/>
  <c r="K3802" i="4"/>
  <c r="J3802" i="4"/>
  <c r="H3802" i="4"/>
  <c r="I3802" i="4" s="1"/>
  <c r="K3801" i="4"/>
  <c r="J3801" i="4"/>
  <c r="H3801" i="4"/>
  <c r="I3801" i="4" s="1"/>
  <c r="K3800" i="4"/>
  <c r="J3800" i="4"/>
  <c r="H3800" i="4"/>
  <c r="I3800" i="4" s="1"/>
  <c r="K3799" i="4"/>
  <c r="J3799" i="4"/>
  <c r="H3799" i="4"/>
  <c r="I3799" i="4" s="1"/>
  <c r="K3798" i="4"/>
  <c r="J3798" i="4"/>
  <c r="H3798" i="4"/>
  <c r="I3798" i="4" s="1"/>
  <c r="K3797" i="4"/>
  <c r="J3797" i="4"/>
  <c r="H3797" i="4"/>
  <c r="I3797" i="4" s="1"/>
  <c r="K3796" i="4"/>
  <c r="J3796" i="4"/>
  <c r="H3796" i="4"/>
  <c r="I3796" i="4" s="1"/>
  <c r="K3795" i="4"/>
  <c r="J3795" i="4"/>
  <c r="H3795" i="4"/>
  <c r="I3795" i="4" s="1"/>
  <c r="K3794" i="4"/>
  <c r="J3794" i="4"/>
  <c r="H3794" i="4"/>
  <c r="I3794" i="4" s="1"/>
  <c r="K3793" i="4"/>
  <c r="J3793" i="4"/>
  <c r="H3793" i="4"/>
  <c r="I3793" i="4" s="1"/>
  <c r="K3792" i="4"/>
  <c r="J3792" i="4"/>
  <c r="H3792" i="4"/>
  <c r="I3792" i="4" s="1"/>
  <c r="K3791" i="4"/>
  <c r="J3791" i="4"/>
  <c r="H3791" i="4"/>
  <c r="I3791" i="4" s="1"/>
  <c r="K3790" i="4"/>
  <c r="J3790" i="4"/>
  <c r="H3790" i="4"/>
  <c r="I3790" i="4" s="1"/>
  <c r="K3789" i="4"/>
  <c r="J3789" i="4"/>
  <c r="H3789" i="4"/>
  <c r="I3789" i="4" s="1"/>
  <c r="K3788" i="4"/>
  <c r="J3788" i="4"/>
  <c r="H3788" i="4"/>
  <c r="I3788" i="4" s="1"/>
  <c r="K3787" i="4"/>
  <c r="J3787" i="4"/>
  <c r="H3787" i="4"/>
  <c r="I3787" i="4" s="1"/>
  <c r="K3786" i="4"/>
  <c r="J3786" i="4"/>
  <c r="H3786" i="4"/>
  <c r="I3786" i="4" s="1"/>
  <c r="K3785" i="4"/>
  <c r="J3785" i="4"/>
  <c r="H3785" i="4"/>
  <c r="I3785" i="4" s="1"/>
  <c r="K3784" i="4"/>
  <c r="J3784" i="4"/>
  <c r="H3784" i="4"/>
  <c r="I3784" i="4" s="1"/>
  <c r="K3783" i="4"/>
  <c r="J3783" i="4"/>
  <c r="H3783" i="4"/>
  <c r="I3783" i="4" s="1"/>
  <c r="K3782" i="4"/>
  <c r="J3782" i="4"/>
  <c r="H3782" i="4"/>
  <c r="I3782" i="4" s="1"/>
  <c r="K3781" i="4"/>
  <c r="J3781" i="4"/>
  <c r="H3781" i="4"/>
  <c r="I3781" i="4" s="1"/>
  <c r="K3780" i="4"/>
  <c r="J3780" i="4"/>
  <c r="H3780" i="4"/>
  <c r="I3780" i="4" s="1"/>
  <c r="K3779" i="4"/>
  <c r="J3779" i="4"/>
  <c r="H3779" i="4"/>
  <c r="I3779" i="4" s="1"/>
  <c r="K3778" i="4"/>
  <c r="J3778" i="4"/>
  <c r="H3778" i="4"/>
  <c r="I3778" i="4" s="1"/>
  <c r="K3777" i="4"/>
  <c r="J3777" i="4"/>
  <c r="H3777" i="4"/>
  <c r="I3777" i="4" s="1"/>
  <c r="K3776" i="4"/>
  <c r="J3776" i="4"/>
  <c r="H3776" i="4"/>
  <c r="I3776" i="4" s="1"/>
  <c r="K3775" i="4"/>
  <c r="J3775" i="4"/>
  <c r="H3775" i="4"/>
  <c r="I3775" i="4" s="1"/>
  <c r="K3774" i="4"/>
  <c r="J3774" i="4"/>
  <c r="H3774" i="4"/>
  <c r="I3774" i="4" s="1"/>
  <c r="K3773" i="4"/>
  <c r="J3773" i="4"/>
  <c r="H3773" i="4"/>
  <c r="I3773" i="4" s="1"/>
  <c r="K3772" i="4"/>
  <c r="J3772" i="4"/>
  <c r="H3772" i="4"/>
  <c r="I3772" i="4" s="1"/>
  <c r="K3771" i="4"/>
  <c r="J3771" i="4"/>
  <c r="H3771" i="4"/>
  <c r="I3771" i="4" s="1"/>
  <c r="K3770" i="4"/>
  <c r="J3770" i="4"/>
  <c r="H3770" i="4"/>
  <c r="I3770" i="4" s="1"/>
  <c r="K3769" i="4"/>
  <c r="J3769" i="4"/>
  <c r="H3769" i="4"/>
  <c r="I3769" i="4" s="1"/>
  <c r="K3768" i="4"/>
  <c r="J3768" i="4"/>
  <c r="H3768" i="4"/>
  <c r="I3768" i="4" s="1"/>
  <c r="K3767" i="4"/>
  <c r="J3767" i="4"/>
  <c r="H3767" i="4"/>
  <c r="I3767" i="4" s="1"/>
  <c r="K3766" i="4"/>
  <c r="J3766" i="4"/>
  <c r="H3766" i="4"/>
  <c r="I3766" i="4" s="1"/>
  <c r="K3765" i="4"/>
  <c r="J3765" i="4"/>
  <c r="H3765" i="4"/>
  <c r="I3765" i="4" s="1"/>
  <c r="K3764" i="4"/>
  <c r="J3764" i="4"/>
  <c r="H3764" i="4"/>
  <c r="I3764" i="4" s="1"/>
  <c r="K3763" i="4"/>
  <c r="J3763" i="4"/>
  <c r="H3763" i="4"/>
  <c r="I3763" i="4" s="1"/>
  <c r="K3762" i="4"/>
  <c r="J3762" i="4"/>
  <c r="H3762" i="4"/>
  <c r="I3762" i="4" s="1"/>
  <c r="K3761" i="4"/>
  <c r="J3761" i="4"/>
  <c r="H3761" i="4"/>
  <c r="I3761" i="4" s="1"/>
  <c r="K3760" i="4"/>
  <c r="J3760" i="4"/>
  <c r="H3760" i="4"/>
  <c r="I3760" i="4" s="1"/>
  <c r="K3759" i="4"/>
  <c r="J3759" i="4"/>
  <c r="H3759" i="4"/>
  <c r="I3759" i="4" s="1"/>
  <c r="K3758" i="4"/>
  <c r="J3758" i="4"/>
  <c r="H3758" i="4"/>
  <c r="I3758" i="4" s="1"/>
  <c r="K3757" i="4"/>
  <c r="J3757" i="4"/>
  <c r="H3757" i="4"/>
  <c r="I3757" i="4" s="1"/>
  <c r="K3756" i="4"/>
  <c r="J3756" i="4"/>
  <c r="H3756" i="4"/>
  <c r="I3756" i="4" s="1"/>
  <c r="K3755" i="4"/>
  <c r="J3755" i="4"/>
  <c r="H3755" i="4"/>
  <c r="I3755" i="4" s="1"/>
  <c r="K3754" i="4"/>
  <c r="J3754" i="4"/>
  <c r="H3754" i="4"/>
  <c r="I3754" i="4" s="1"/>
  <c r="K3753" i="4"/>
  <c r="J3753" i="4"/>
  <c r="H3753" i="4"/>
  <c r="I3753" i="4" s="1"/>
  <c r="K3752" i="4"/>
  <c r="J3752" i="4"/>
  <c r="H3752" i="4"/>
  <c r="I3752" i="4" s="1"/>
  <c r="K3751" i="4"/>
  <c r="J3751" i="4"/>
  <c r="H3751" i="4"/>
  <c r="I3751" i="4" s="1"/>
  <c r="K3750" i="4"/>
  <c r="J3750" i="4"/>
  <c r="H3750" i="4"/>
  <c r="I3750" i="4" s="1"/>
  <c r="K3749" i="4"/>
  <c r="J3749" i="4"/>
  <c r="H3749" i="4"/>
  <c r="I3749" i="4" s="1"/>
  <c r="K3748" i="4"/>
  <c r="J3748" i="4"/>
  <c r="H3748" i="4"/>
  <c r="I3748" i="4" s="1"/>
  <c r="K3747" i="4"/>
  <c r="J3747" i="4"/>
  <c r="H3747" i="4"/>
  <c r="I3747" i="4" s="1"/>
  <c r="K3746" i="4"/>
  <c r="J3746" i="4"/>
  <c r="H3746" i="4"/>
  <c r="I3746" i="4" s="1"/>
  <c r="K3745" i="4"/>
  <c r="J3745" i="4"/>
  <c r="H3745" i="4"/>
  <c r="I3745" i="4" s="1"/>
  <c r="K3744" i="4"/>
  <c r="J3744" i="4"/>
  <c r="H3744" i="4"/>
  <c r="I3744" i="4" s="1"/>
  <c r="K3743" i="4"/>
  <c r="J3743" i="4"/>
  <c r="H3743" i="4"/>
  <c r="I3743" i="4" s="1"/>
  <c r="K3742" i="4"/>
  <c r="J3742" i="4"/>
  <c r="H3742" i="4"/>
  <c r="I3742" i="4" s="1"/>
  <c r="K3741" i="4"/>
  <c r="J3741" i="4"/>
  <c r="H3741" i="4"/>
  <c r="I3741" i="4" s="1"/>
  <c r="K3740" i="4"/>
  <c r="J3740" i="4"/>
  <c r="H3740" i="4"/>
  <c r="I3740" i="4" s="1"/>
  <c r="K3739" i="4"/>
  <c r="J3739" i="4"/>
  <c r="H3739" i="4"/>
  <c r="I3739" i="4" s="1"/>
  <c r="K3738" i="4"/>
  <c r="J3738" i="4"/>
  <c r="H3738" i="4"/>
  <c r="I3738" i="4" s="1"/>
  <c r="K3737" i="4"/>
  <c r="J3737" i="4"/>
  <c r="H3737" i="4"/>
  <c r="I3737" i="4" s="1"/>
  <c r="K3736" i="4"/>
  <c r="J3736" i="4"/>
  <c r="H3736" i="4"/>
  <c r="I3736" i="4" s="1"/>
  <c r="K3735" i="4"/>
  <c r="J3735" i="4"/>
  <c r="H3735" i="4"/>
  <c r="I3735" i="4" s="1"/>
  <c r="K3734" i="4"/>
  <c r="J3734" i="4"/>
  <c r="H3734" i="4"/>
  <c r="I3734" i="4" s="1"/>
  <c r="K3733" i="4"/>
  <c r="J3733" i="4"/>
  <c r="H3733" i="4"/>
  <c r="I3733" i="4" s="1"/>
  <c r="K3732" i="4"/>
  <c r="J3732" i="4"/>
  <c r="H3732" i="4"/>
  <c r="I3732" i="4" s="1"/>
  <c r="K3731" i="4"/>
  <c r="J3731" i="4"/>
  <c r="H3731" i="4"/>
  <c r="I3731" i="4" s="1"/>
  <c r="K3730" i="4"/>
  <c r="J3730" i="4"/>
  <c r="H3730" i="4"/>
  <c r="I3730" i="4" s="1"/>
  <c r="K3729" i="4"/>
  <c r="J3729" i="4"/>
  <c r="H3729" i="4"/>
  <c r="I3729" i="4" s="1"/>
  <c r="K3728" i="4"/>
  <c r="J3728" i="4"/>
  <c r="H3728" i="4"/>
  <c r="I3728" i="4" s="1"/>
  <c r="K3727" i="4"/>
  <c r="J3727" i="4"/>
  <c r="H3727" i="4"/>
  <c r="I3727" i="4" s="1"/>
  <c r="K3726" i="4"/>
  <c r="J3726" i="4"/>
  <c r="H3726" i="4"/>
  <c r="I3726" i="4" s="1"/>
  <c r="K3725" i="4"/>
  <c r="J3725" i="4"/>
  <c r="H3725" i="4"/>
  <c r="I3725" i="4" s="1"/>
  <c r="K3724" i="4"/>
  <c r="J3724" i="4"/>
  <c r="H3724" i="4"/>
  <c r="I3724" i="4" s="1"/>
  <c r="K3723" i="4"/>
  <c r="J3723" i="4"/>
  <c r="H3723" i="4"/>
  <c r="I3723" i="4" s="1"/>
  <c r="K3722" i="4"/>
  <c r="J3722" i="4"/>
  <c r="H3722" i="4"/>
  <c r="I3722" i="4" s="1"/>
  <c r="K3721" i="4"/>
  <c r="J3721" i="4"/>
  <c r="H3721" i="4"/>
  <c r="I3721" i="4" s="1"/>
  <c r="K3720" i="4"/>
  <c r="J3720" i="4"/>
  <c r="H3720" i="4"/>
  <c r="I3720" i="4" s="1"/>
  <c r="K3719" i="4"/>
  <c r="J3719" i="4"/>
  <c r="H3719" i="4"/>
  <c r="I3719" i="4" s="1"/>
  <c r="K3718" i="4"/>
  <c r="J3718" i="4"/>
  <c r="H3718" i="4"/>
  <c r="I3718" i="4" s="1"/>
  <c r="K3717" i="4"/>
  <c r="J3717" i="4"/>
  <c r="H3717" i="4"/>
  <c r="I3717" i="4" s="1"/>
  <c r="K3716" i="4"/>
  <c r="J3716" i="4"/>
  <c r="H3716" i="4"/>
  <c r="I3716" i="4" s="1"/>
  <c r="K3715" i="4"/>
  <c r="J3715" i="4"/>
  <c r="H3715" i="4"/>
  <c r="I3715" i="4" s="1"/>
  <c r="K3714" i="4"/>
  <c r="J3714" i="4"/>
  <c r="H3714" i="4"/>
  <c r="I3714" i="4" s="1"/>
  <c r="K3713" i="4"/>
  <c r="J3713" i="4"/>
  <c r="H3713" i="4"/>
  <c r="I3713" i="4" s="1"/>
  <c r="K3712" i="4"/>
  <c r="J3712" i="4"/>
  <c r="H3712" i="4"/>
  <c r="I3712" i="4" s="1"/>
  <c r="K3711" i="4"/>
  <c r="J3711" i="4"/>
  <c r="H3711" i="4"/>
  <c r="I3711" i="4" s="1"/>
  <c r="K3710" i="4"/>
  <c r="J3710" i="4"/>
  <c r="H3710" i="4"/>
  <c r="I3710" i="4" s="1"/>
  <c r="K3709" i="4"/>
  <c r="J3709" i="4"/>
  <c r="H3709" i="4"/>
  <c r="I3709" i="4" s="1"/>
  <c r="K3708" i="4"/>
  <c r="J3708" i="4"/>
  <c r="H3708" i="4"/>
  <c r="I3708" i="4" s="1"/>
  <c r="K3707" i="4"/>
  <c r="J3707" i="4"/>
  <c r="H3707" i="4"/>
  <c r="I3707" i="4" s="1"/>
  <c r="K3706" i="4"/>
  <c r="J3706" i="4"/>
  <c r="H3706" i="4"/>
  <c r="I3706" i="4" s="1"/>
  <c r="K3705" i="4"/>
  <c r="J3705" i="4"/>
  <c r="H3705" i="4"/>
  <c r="I3705" i="4" s="1"/>
  <c r="K3704" i="4"/>
  <c r="J3704" i="4"/>
  <c r="H3704" i="4"/>
  <c r="I3704" i="4" s="1"/>
  <c r="K3703" i="4"/>
  <c r="J3703" i="4"/>
  <c r="H3703" i="4"/>
  <c r="I3703" i="4" s="1"/>
  <c r="K3702" i="4"/>
  <c r="J3702" i="4"/>
  <c r="H3702" i="4"/>
  <c r="I3702" i="4" s="1"/>
  <c r="K3701" i="4"/>
  <c r="J3701" i="4"/>
  <c r="H3701" i="4"/>
  <c r="I3701" i="4" s="1"/>
  <c r="K3700" i="4"/>
  <c r="J3700" i="4"/>
  <c r="H3700" i="4"/>
  <c r="I3700" i="4" s="1"/>
  <c r="K3699" i="4"/>
  <c r="J3699" i="4"/>
  <c r="H3699" i="4"/>
  <c r="I3699" i="4" s="1"/>
  <c r="K3698" i="4"/>
  <c r="J3698" i="4"/>
  <c r="H3698" i="4"/>
  <c r="I3698" i="4" s="1"/>
  <c r="K3697" i="4"/>
  <c r="J3697" i="4"/>
  <c r="H3697" i="4"/>
  <c r="I3697" i="4" s="1"/>
  <c r="K3696" i="4"/>
  <c r="J3696" i="4"/>
  <c r="H3696" i="4"/>
  <c r="I3696" i="4" s="1"/>
  <c r="K3695" i="4"/>
  <c r="J3695" i="4"/>
  <c r="H3695" i="4"/>
  <c r="I3695" i="4" s="1"/>
  <c r="K3694" i="4"/>
  <c r="J3694" i="4"/>
  <c r="H3694" i="4"/>
  <c r="I3694" i="4" s="1"/>
  <c r="K3693" i="4"/>
  <c r="J3693" i="4"/>
  <c r="H3693" i="4"/>
  <c r="I3693" i="4" s="1"/>
  <c r="K3692" i="4"/>
  <c r="J3692" i="4"/>
  <c r="H3692" i="4"/>
  <c r="I3692" i="4" s="1"/>
  <c r="K3691" i="4"/>
  <c r="J3691" i="4"/>
  <c r="H3691" i="4"/>
  <c r="I3691" i="4" s="1"/>
  <c r="K3690" i="4"/>
  <c r="J3690" i="4"/>
  <c r="H3690" i="4"/>
  <c r="I3690" i="4" s="1"/>
  <c r="K3689" i="4"/>
  <c r="J3689" i="4"/>
  <c r="H3689" i="4"/>
  <c r="I3689" i="4" s="1"/>
  <c r="K3688" i="4"/>
  <c r="J3688" i="4"/>
  <c r="H3688" i="4"/>
  <c r="I3688" i="4" s="1"/>
  <c r="K3687" i="4"/>
  <c r="J3687" i="4"/>
  <c r="H3687" i="4"/>
  <c r="I3687" i="4" s="1"/>
  <c r="K3686" i="4"/>
  <c r="J3686" i="4"/>
  <c r="H3686" i="4"/>
  <c r="I3686" i="4" s="1"/>
  <c r="K3685" i="4"/>
  <c r="J3685" i="4"/>
  <c r="H3685" i="4"/>
  <c r="I3685" i="4" s="1"/>
  <c r="K3684" i="4"/>
  <c r="J3684" i="4"/>
  <c r="H3684" i="4"/>
  <c r="I3684" i="4" s="1"/>
  <c r="K3683" i="4"/>
  <c r="J3683" i="4"/>
  <c r="H3683" i="4"/>
  <c r="I3683" i="4" s="1"/>
  <c r="K3682" i="4"/>
  <c r="J3682" i="4"/>
  <c r="H3682" i="4"/>
  <c r="I3682" i="4" s="1"/>
  <c r="K3681" i="4"/>
  <c r="J3681" i="4"/>
  <c r="H3681" i="4"/>
  <c r="I3681" i="4" s="1"/>
  <c r="K3680" i="4"/>
  <c r="J3680" i="4"/>
  <c r="H3680" i="4"/>
  <c r="I3680" i="4" s="1"/>
  <c r="K3679" i="4"/>
  <c r="J3679" i="4"/>
  <c r="H3679" i="4"/>
  <c r="I3679" i="4" s="1"/>
  <c r="K3678" i="4"/>
  <c r="J3678" i="4"/>
  <c r="H3678" i="4"/>
  <c r="I3678" i="4" s="1"/>
  <c r="K3677" i="4"/>
  <c r="J3677" i="4"/>
  <c r="H3677" i="4"/>
  <c r="I3677" i="4" s="1"/>
  <c r="K3676" i="4"/>
  <c r="J3676" i="4"/>
  <c r="H3676" i="4"/>
  <c r="I3676" i="4" s="1"/>
  <c r="K3675" i="4"/>
  <c r="J3675" i="4"/>
  <c r="H3675" i="4"/>
  <c r="I3675" i="4" s="1"/>
  <c r="K3674" i="4"/>
  <c r="J3674" i="4"/>
  <c r="H3674" i="4"/>
  <c r="I3674" i="4" s="1"/>
  <c r="K3673" i="4"/>
  <c r="J3673" i="4"/>
  <c r="H3673" i="4"/>
  <c r="I3673" i="4" s="1"/>
  <c r="K3672" i="4"/>
  <c r="J3672" i="4"/>
  <c r="H3672" i="4"/>
  <c r="I3672" i="4" s="1"/>
  <c r="K3671" i="4"/>
  <c r="J3671" i="4"/>
  <c r="H3671" i="4"/>
  <c r="I3671" i="4" s="1"/>
  <c r="K3670" i="4"/>
  <c r="J3670" i="4"/>
  <c r="H3670" i="4"/>
  <c r="I3670" i="4" s="1"/>
  <c r="K3669" i="4"/>
  <c r="J3669" i="4"/>
  <c r="H3669" i="4"/>
  <c r="I3669" i="4" s="1"/>
  <c r="K3668" i="4"/>
  <c r="J3668" i="4"/>
  <c r="H3668" i="4"/>
  <c r="I3668" i="4" s="1"/>
  <c r="K3667" i="4"/>
  <c r="J3667" i="4"/>
  <c r="H3667" i="4"/>
  <c r="I3667" i="4" s="1"/>
  <c r="K3666" i="4"/>
  <c r="J3666" i="4"/>
  <c r="H3666" i="4"/>
  <c r="I3666" i="4" s="1"/>
  <c r="K3665" i="4"/>
  <c r="J3665" i="4"/>
  <c r="H3665" i="4"/>
  <c r="I3665" i="4" s="1"/>
  <c r="K3664" i="4"/>
  <c r="J3664" i="4"/>
  <c r="H3664" i="4"/>
  <c r="I3664" i="4" s="1"/>
  <c r="K3663" i="4"/>
  <c r="J3663" i="4"/>
  <c r="H3663" i="4"/>
  <c r="I3663" i="4" s="1"/>
  <c r="K3662" i="4"/>
  <c r="J3662" i="4"/>
  <c r="H3662" i="4"/>
  <c r="I3662" i="4" s="1"/>
  <c r="K3661" i="4"/>
  <c r="J3661" i="4"/>
  <c r="H3661" i="4"/>
  <c r="I3661" i="4" s="1"/>
  <c r="K3660" i="4"/>
  <c r="J3660" i="4"/>
  <c r="H3660" i="4"/>
  <c r="I3660" i="4" s="1"/>
  <c r="K3659" i="4"/>
  <c r="J3659" i="4"/>
  <c r="H3659" i="4"/>
  <c r="I3659" i="4" s="1"/>
  <c r="K3658" i="4"/>
  <c r="J3658" i="4"/>
  <c r="H3658" i="4"/>
  <c r="I3658" i="4" s="1"/>
  <c r="K3657" i="4"/>
  <c r="J3657" i="4"/>
  <c r="H3657" i="4"/>
  <c r="I3657" i="4" s="1"/>
  <c r="K3656" i="4"/>
  <c r="J3656" i="4"/>
  <c r="H3656" i="4"/>
  <c r="I3656" i="4" s="1"/>
  <c r="K3655" i="4"/>
  <c r="J3655" i="4"/>
  <c r="H3655" i="4"/>
  <c r="I3655" i="4" s="1"/>
  <c r="K3654" i="4"/>
  <c r="J3654" i="4"/>
  <c r="H3654" i="4"/>
  <c r="I3654" i="4" s="1"/>
  <c r="K3653" i="4"/>
  <c r="J3653" i="4"/>
  <c r="H3653" i="4"/>
  <c r="I3653" i="4" s="1"/>
  <c r="K3652" i="4"/>
  <c r="J3652" i="4"/>
  <c r="H3652" i="4"/>
  <c r="I3652" i="4" s="1"/>
  <c r="K3651" i="4"/>
  <c r="J3651" i="4"/>
  <c r="H3651" i="4"/>
  <c r="I3651" i="4" s="1"/>
  <c r="K3650" i="4"/>
  <c r="J3650" i="4"/>
  <c r="H3650" i="4"/>
  <c r="I3650" i="4" s="1"/>
  <c r="K3649" i="4"/>
  <c r="J3649" i="4"/>
  <c r="H3649" i="4"/>
  <c r="I3649" i="4" s="1"/>
  <c r="K3648" i="4"/>
  <c r="J3648" i="4"/>
  <c r="H3648" i="4"/>
  <c r="I3648" i="4" s="1"/>
  <c r="K3647" i="4"/>
  <c r="J3647" i="4"/>
  <c r="H3647" i="4"/>
  <c r="I3647" i="4" s="1"/>
  <c r="K3646" i="4"/>
  <c r="J3646" i="4"/>
  <c r="H3646" i="4"/>
  <c r="I3646" i="4" s="1"/>
  <c r="K3645" i="4"/>
  <c r="J3645" i="4"/>
  <c r="H3645" i="4"/>
  <c r="I3645" i="4" s="1"/>
  <c r="K3644" i="4"/>
  <c r="J3644" i="4"/>
  <c r="H3644" i="4"/>
  <c r="I3644" i="4" s="1"/>
  <c r="K3643" i="4"/>
  <c r="J3643" i="4"/>
  <c r="H3643" i="4"/>
  <c r="I3643" i="4" s="1"/>
  <c r="K3642" i="4"/>
  <c r="J3642" i="4"/>
  <c r="H3642" i="4"/>
  <c r="I3642" i="4" s="1"/>
  <c r="K3641" i="4"/>
  <c r="J3641" i="4"/>
  <c r="H3641" i="4"/>
  <c r="I3641" i="4" s="1"/>
  <c r="K3640" i="4"/>
  <c r="J3640" i="4"/>
  <c r="H3640" i="4"/>
  <c r="I3640" i="4" s="1"/>
  <c r="K3639" i="4"/>
  <c r="J3639" i="4"/>
  <c r="H3639" i="4"/>
  <c r="I3639" i="4" s="1"/>
  <c r="K3638" i="4"/>
  <c r="J3638" i="4"/>
  <c r="H3638" i="4"/>
  <c r="I3638" i="4" s="1"/>
  <c r="K3637" i="4"/>
  <c r="J3637" i="4"/>
  <c r="H3637" i="4"/>
  <c r="I3637" i="4" s="1"/>
  <c r="K3636" i="4"/>
  <c r="J3636" i="4"/>
  <c r="H3636" i="4"/>
  <c r="I3636" i="4" s="1"/>
  <c r="K3635" i="4"/>
  <c r="J3635" i="4"/>
  <c r="H3635" i="4"/>
  <c r="I3635" i="4" s="1"/>
  <c r="K3634" i="4"/>
  <c r="J3634" i="4"/>
  <c r="H3634" i="4"/>
  <c r="I3634" i="4" s="1"/>
  <c r="K3633" i="4"/>
  <c r="J3633" i="4"/>
  <c r="H3633" i="4"/>
  <c r="I3633" i="4" s="1"/>
  <c r="K3632" i="4"/>
  <c r="J3632" i="4"/>
  <c r="H3632" i="4"/>
  <c r="I3632" i="4" s="1"/>
  <c r="K3631" i="4"/>
  <c r="J3631" i="4"/>
  <c r="H3631" i="4"/>
  <c r="I3631" i="4" s="1"/>
  <c r="K3630" i="4"/>
  <c r="J3630" i="4"/>
  <c r="H3630" i="4"/>
  <c r="I3630" i="4" s="1"/>
  <c r="K3629" i="4"/>
  <c r="J3629" i="4"/>
  <c r="H3629" i="4"/>
  <c r="I3629" i="4" s="1"/>
  <c r="K3628" i="4"/>
  <c r="J3628" i="4"/>
  <c r="H3628" i="4"/>
  <c r="I3628" i="4" s="1"/>
  <c r="K3627" i="4"/>
  <c r="J3627" i="4"/>
  <c r="H3627" i="4"/>
  <c r="I3627" i="4" s="1"/>
  <c r="K3626" i="4"/>
  <c r="J3626" i="4"/>
  <c r="H3626" i="4"/>
  <c r="I3626" i="4" s="1"/>
  <c r="K3625" i="4"/>
  <c r="J3625" i="4"/>
  <c r="H3625" i="4"/>
  <c r="I3625" i="4" s="1"/>
  <c r="K3624" i="4"/>
  <c r="J3624" i="4"/>
  <c r="H3624" i="4"/>
  <c r="I3624" i="4" s="1"/>
  <c r="K3623" i="4"/>
  <c r="J3623" i="4"/>
  <c r="H3623" i="4"/>
  <c r="I3623" i="4" s="1"/>
  <c r="K3622" i="4"/>
  <c r="J3622" i="4"/>
  <c r="H3622" i="4"/>
  <c r="I3622" i="4" s="1"/>
  <c r="K3621" i="4"/>
  <c r="J3621" i="4"/>
  <c r="H3621" i="4"/>
  <c r="I3621" i="4" s="1"/>
  <c r="K3620" i="4"/>
  <c r="J3620" i="4"/>
  <c r="H3620" i="4"/>
  <c r="I3620" i="4" s="1"/>
  <c r="K3619" i="4"/>
  <c r="J3619" i="4"/>
  <c r="H3619" i="4"/>
  <c r="I3619" i="4" s="1"/>
  <c r="K3618" i="4"/>
  <c r="J3618" i="4"/>
  <c r="H3618" i="4"/>
  <c r="I3618" i="4" s="1"/>
  <c r="K3617" i="4"/>
  <c r="J3617" i="4"/>
  <c r="H3617" i="4"/>
  <c r="I3617" i="4" s="1"/>
  <c r="K3616" i="4"/>
  <c r="J3616" i="4"/>
  <c r="H3616" i="4"/>
  <c r="I3616" i="4" s="1"/>
  <c r="K3615" i="4"/>
  <c r="J3615" i="4"/>
  <c r="H3615" i="4"/>
  <c r="I3615" i="4" s="1"/>
  <c r="K3614" i="4"/>
  <c r="J3614" i="4"/>
  <c r="H3614" i="4"/>
  <c r="I3614" i="4" s="1"/>
  <c r="K3613" i="4"/>
  <c r="J3613" i="4"/>
  <c r="H3613" i="4"/>
  <c r="I3613" i="4" s="1"/>
  <c r="K3612" i="4"/>
  <c r="J3612" i="4"/>
  <c r="H3612" i="4"/>
  <c r="I3612" i="4" s="1"/>
  <c r="K3611" i="4"/>
  <c r="J3611" i="4"/>
  <c r="H3611" i="4"/>
  <c r="I3611" i="4" s="1"/>
  <c r="K3610" i="4"/>
  <c r="J3610" i="4"/>
  <c r="H3610" i="4"/>
  <c r="I3610" i="4" s="1"/>
  <c r="K3609" i="4"/>
  <c r="J3609" i="4"/>
  <c r="H3609" i="4"/>
  <c r="I3609" i="4" s="1"/>
  <c r="K3608" i="4"/>
  <c r="J3608" i="4"/>
  <c r="H3608" i="4"/>
  <c r="I3608" i="4" s="1"/>
  <c r="K3607" i="4"/>
  <c r="J3607" i="4"/>
  <c r="H3607" i="4"/>
  <c r="I3607" i="4" s="1"/>
  <c r="K3606" i="4"/>
  <c r="J3606" i="4"/>
  <c r="H3606" i="4"/>
  <c r="I3606" i="4" s="1"/>
  <c r="K3605" i="4"/>
  <c r="J3605" i="4"/>
  <c r="H3605" i="4"/>
  <c r="I3605" i="4" s="1"/>
  <c r="K3604" i="4"/>
  <c r="J3604" i="4"/>
  <c r="H3604" i="4"/>
  <c r="I3604" i="4" s="1"/>
  <c r="K3603" i="4"/>
  <c r="J3603" i="4"/>
  <c r="H3603" i="4"/>
  <c r="I3603" i="4" s="1"/>
  <c r="K3602" i="4"/>
  <c r="J3602" i="4"/>
  <c r="H3602" i="4"/>
  <c r="I3602" i="4" s="1"/>
  <c r="K3601" i="4"/>
  <c r="J3601" i="4"/>
  <c r="H3601" i="4"/>
  <c r="I3601" i="4" s="1"/>
  <c r="K3600" i="4"/>
  <c r="J3600" i="4"/>
  <c r="H3600" i="4"/>
  <c r="I3600" i="4" s="1"/>
  <c r="K3599" i="4"/>
  <c r="J3599" i="4"/>
  <c r="H3599" i="4"/>
  <c r="I3599" i="4" s="1"/>
  <c r="K3598" i="4"/>
  <c r="J3598" i="4"/>
  <c r="H3598" i="4"/>
  <c r="I3598" i="4" s="1"/>
  <c r="K3597" i="4"/>
  <c r="J3597" i="4"/>
  <c r="H3597" i="4"/>
  <c r="I3597" i="4" s="1"/>
  <c r="K3596" i="4"/>
  <c r="J3596" i="4"/>
  <c r="H3596" i="4"/>
  <c r="I3596" i="4" s="1"/>
  <c r="K3595" i="4"/>
  <c r="J3595" i="4"/>
  <c r="H3595" i="4"/>
  <c r="I3595" i="4" s="1"/>
  <c r="K3594" i="4"/>
  <c r="J3594" i="4"/>
  <c r="H3594" i="4"/>
  <c r="I3594" i="4" s="1"/>
  <c r="K3593" i="4"/>
  <c r="J3593" i="4"/>
  <c r="H3593" i="4"/>
  <c r="I3593" i="4" s="1"/>
  <c r="K3592" i="4"/>
  <c r="J3592" i="4"/>
  <c r="H3592" i="4"/>
  <c r="I3592" i="4" s="1"/>
  <c r="K3591" i="4"/>
  <c r="J3591" i="4"/>
  <c r="H3591" i="4"/>
  <c r="I3591" i="4" s="1"/>
  <c r="K3590" i="4"/>
  <c r="J3590" i="4"/>
  <c r="H3590" i="4"/>
  <c r="I3590" i="4" s="1"/>
  <c r="K3589" i="4"/>
  <c r="J3589" i="4"/>
  <c r="H3589" i="4"/>
  <c r="I3589" i="4" s="1"/>
  <c r="K3588" i="4"/>
  <c r="J3588" i="4"/>
  <c r="H3588" i="4"/>
  <c r="I3588" i="4" s="1"/>
  <c r="K3587" i="4"/>
  <c r="J3587" i="4"/>
  <c r="H3587" i="4"/>
  <c r="I3587" i="4" s="1"/>
  <c r="K3586" i="4"/>
  <c r="J3586" i="4"/>
  <c r="H3586" i="4"/>
  <c r="I3586" i="4" s="1"/>
  <c r="K3585" i="4"/>
  <c r="J3585" i="4"/>
  <c r="H3585" i="4"/>
  <c r="I3585" i="4" s="1"/>
  <c r="K3584" i="4"/>
  <c r="J3584" i="4"/>
  <c r="H3584" i="4"/>
  <c r="I3584" i="4" s="1"/>
  <c r="K3583" i="4"/>
  <c r="J3583" i="4"/>
  <c r="H3583" i="4"/>
  <c r="I3583" i="4" s="1"/>
  <c r="K3582" i="4"/>
  <c r="J3582" i="4"/>
  <c r="H3582" i="4"/>
  <c r="I3582" i="4" s="1"/>
  <c r="K3581" i="4"/>
  <c r="J3581" i="4"/>
  <c r="H3581" i="4"/>
  <c r="I3581" i="4" s="1"/>
  <c r="K3580" i="4"/>
  <c r="J3580" i="4"/>
  <c r="H3580" i="4"/>
  <c r="I3580" i="4" s="1"/>
  <c r="K3579" i="4"/>
  <c r="J3579" i="4"/>
  <c r="H3579" i="4"/>
  <c r="I3579" i="4" s="1"/>
  <c r="K3578" i="4"/>
  <c r="J3578" i="4"/>
  <c r="H3578" i="4"/>
  <c r="I3578" i="4" s="1"/>
  <c r="K3577" i="4"/>
  <c r="J3577" i="4"/>
  <c r="H3577" i="4"/>
  <c r="I3577" i="4" s="1"/>
  <c r="K3576" i="4"/>
  <c r="J3576" i="4"/>
  <c r="H3576" i="4"/>
  <c r="I3576" i="4" s="1"/>
  <c r="K3575" i="4"/>
  <c r="J3575" i="4"/>
  <c r="H3575" i="4"/>
  <c r="I3575" i="4" s="1"/>
  <c r="K3574" i="4"/>
  <c r="J3574" i="4"/>
  <c r="H3574" i="4"/>
  <c r="I3574" i="4" s="1"/>
  <c r="K3573" i="4"/>
  <c r="J3573" i="4"/>
  <c r="H3573" i="4"/>
  <c r="I3573" i="4" s="1"/>
  <c r="K3572" i="4"/>
  <c r="J3572" i="4"/>
  <c r="H3572" i="4"/>
  <c r="I3572" i="4" s="1"/>
  <c r="K3571" i="4"/>
  <c r="J3571" i="4"/>
  <c r="H3571" i="4"/>
  <c r="I3571" i="4" s="1"/>
  <c r="K3570" i="4"/>
  <c r="J3570" i="4"/>
  <c r="H3570" i="4"/>
  <c r="I3570" i="4" s="1"/>
  <c r="K3569" i="4"/>
  <c r="J3569" i="4"/>
  <c r="H3569" i="4"/>
  <c r="I3569" i="4" s="1"/>
  <c r="K3568" i="4"/>
  <c r="J3568" i="4"/>
  <c r="H3568" i="4"/>
  <c r="I3568" i="4" s="1"/>
  <c r="K3567" i="4"/>
  <c r="J3567" i="4"/>
  <c r="H3567" i="4"/>
  <c r="I3567" i="4" s="1"/>
  <c r="K3566" i="4"/>
  <c r="J3566" i="4"/>
  <c r="H3566" i="4"/>
  <c r="I3566" i="4" s="1"/>
  <c r="K3565" i="4"/>
  <c r="J3565" i="4"/>
  <c r="H3565" i="4"/>
  <c r="I3565" i="4" s="1"/>
  <c r="K3564" i="4"/>
  <c r="J3564" i="4"/>
  <c r="H3564" i="4"/>
  <c r="I3564" i="4" s="1"/>
  <c r="K3563" i="4"/>
  <c r="J3563" i="4"/>
  <c r="H3563" i="4"/>
  <c r="I3563" i="4" s="1"/>
  <c r="K3562" i="4"/>
  <c r="J3562" i="4"/>
  <c r="H3562" i="4"/>
  <c r="I3562" i="4" s="1"/>
  <c r="K3561" i="4"/>
  <c r="J3561" i="4"/>
  <c r="H3561" i="4"/>
  <c r="I3561" i="4" s="1"/>
  <c r="K3560" i="4"/>
  <c r="J3560" i="4"/>
  <c r="H3560" i="4"/>
  <c r="I3560" i="4" s="1"/>
  <c r="K3559" i="4"/>
  <c r="J3559" i="4"/>
  <c r="H3559" i="4"/>
  <c r="I3559" i="4" s="1"/>
  <c r="K3558" i="4"/>
  <c r="J3558" i="4"/>
  <c r="H3558" i="4"/>
  <c r="I3558" i="4" s="1"/>
  <c r="K3557" i="4"/>
  <c r="J3557" i="4"/>
  <c r="H3557" i="4"/>
  <c r="I3557" i="4" s="1"/>
  <c r="K3556" i="4"/>
  <c r="J3556" i="4"/>
  <c r="H3556" i="4"/>
  <c r="I3556" i="4" s="1"/>
  <c r="K3555" i="4"/>
  <c r="J3555" i="4"/>
  <c r="H3555" i="4"/>
  <c r="I3555" i="4" s="1"/>
  <c r="K3554" i="4"/>
  <c r="J3554" i="4"/>
  <c r="H3554" i="4"/>
  <c r="I3554" i="4" s="1"/>
  <c r="K3553" i="4"/>
  <c r="J3553" i="4"/>
  <c r="H3553" i="4"/>
  <c r="I3553" i="4" s="1"/>
  <c r="K3552" i="4"/>
  <c r="J3552" i="4"/>
  <c r="H3552" i="4"/>
  <c r="I3552" i="4" s="1"/>
  <c r="K3551" i="4"/>
  <c r="J3551" i="4"/>
  <c r="H3551" i="4"/>
  <c r="I3551" i="4" s="1"/>
  <c r="K3550" i="4"/>
  <c r="J3550" i="4"/>
  <c r="H3550" i="4"/>
  <c r="I3550" i="4" s="1"/>
  <c r="K3549" i="4"/>
  <c r="J3549" i="4"/>
  <c r="H3549" i="4"/>
  <c r="I3549" i="4" s="1"/>
  <c r="K3548" i="4"/>
  <c r="J3548" i="4"/>
  <c r="H3548" i="4"/>
  <c r="I3548" i="4" s="1"/>
  <c r="K3547" i="4"/>
  <c r="J3547" i="4"/>
  <c r="H3547" i="4"/>
  <c r="I3547" i="4" s="1"/>
  <c r="K3546" i="4"/>
  <c r="J3546" i="4"/>
  <c r="H3546" i="4"/>
  <c r="I3546" i="4" s="1"/>
  <c r="K3545" i="4"/>
  <c r="J3545" i="4"/>
  <c r="H3545" i="4"/>
  <c r="I3545" i="4" s="1"/>
  <c r="K3544" i="4"/>
  <c r="J3544" i="4"/>
  <c r="H3544" i="4"/>
  <c r="I3544" i="4" s="1"/>
  <c r="K3543" i="4"/>
  <c r="J3543" i="4"/>
  <c r="H3543" i="4"/>
  <c r="I3543" i="4" s="1"/>
  <c r="K3542" i="4"/>
  <c r="J3542" i="4"/>
  <c r="H3542" i="4"/>
  <c r="I3542" i="4" s="1"/>
  <c r="K3541" i="4"/>
  <c r="J3541" i="4"/>
  <c r="H3541" i="4"/>
  <c r="I3541" i="4" s="1"/>
  <c r="K3540" i="4"/>
  <c r="J3540" i="4"/>
  <c r="H3540" i="4"/>
  <c r="I3540" i="4" s="1"/>
  <c r="K3539" i="4"/>
  <c r="J3539" i="4"/>
  <c r="H3539" i="4"/>
  <c r="I3539" i="4" s="1"/>
  <c r="K3538" i="4"/>
  <c r="J3538" i="4"/>
  <c r="H3538" i="4"/>
  <c r="I3538" i="4" s="1"/>
  <c r="K3537" i="4"/>
  <c r="J3537" i="4"/>
  <c r="H3537" i="4"/>
  <c r="I3537" i="4" s="1"/>
  <c r="K3536" i="4"/>
  <c r="J3536" i="4"/>
  <c r="H3536" i="4"/>
  <c r="I3536" i="4" s="1"/>
  <c r="K3535" i="4"/>
  <c r="J3535" i="4"/>
  <c r="H3535" i="4"/>
  <c r="I3535" i="4" s="1"/>
  <c r="K3534" i="4"/>
  <c r="J3534" i="4"/>
  <c r="H3534" i="4"/>
  <c r="I3534" i="4" s="1"/>
  <c r="K3533" i="4"/>
  <c r="J3533" i="4"/>
  <c r="H3533" i="4"/>
  <c r="I3533" i="4" s="1"/>
  <c r="K3532" i="4"/>
  <c r="J3532" i="4"/>
  <c r="H3532" i="4"/>
  <c r="I3532" i="4" s="1"/>
  <c r="K3531" i="4"/>
  <c r="J3531" i="4"/>
  <c r="H3531" i="4"/>
  <c r="I3531" i="4" s="1"/>
  <c r="K3530" i="4"/>
  <c r="J3530" i="4"/>
  <c r="H3530" i="4"/>
  <c r="I3530" i="4" s="1"/>
  <c r="K3529" i="4"/>
  <c r="J3529" i="4"/>
  <c r="H3529" i="4"/>
  <c r="I3529" i="4" s="1"/>
  <c r="K3528" i="4"/>
  <c r="J3528" i="4"/>
  <c r="H3528" i="4"/>
  <c r="I3528" i="4" s="1"/>
  <c r="K3527" i="4"/>
  <c r="J3527" i="4"/>
  <c r="H3527" i="4"/>
  <c r="I3527" i="4" s="1"/>
  <c r="K3526" i="4"/>
  <c r="J3526" i="4"/>
  <c r="H3526" i="4"/>
  <c r="I3526" i="4" s="1"/>
  <c r="K3525" i="4"/>
  <c r="J3525" i="4"/>
  <c r="H3525" i="4"/>
  <c r="I3525" i="4" s="1"/>
  <c r="K3524" i="4"/>
  <c r="J3524" i="4"/>
  <c r="H3524" i="4"/>
  <c r="I3524" i="4" s="1"/>
  <c r="K3523" i="4"/>
  <c r="J3523" i="4"/>
  <c r="H3523" i="4"/>
  <c r="I3523" i="4" s="1"/>
  <c r="K3522" i="4"/>
  <c r="J3522" i="4"/>
  <c r="H3522" i="4"/>
  <c r="I3522" i="4" s="1"/>
  <c r="K3521" i="4"/>
  <c r="J3521" i="4"/>
  <c r="H3521" i="4"/>
  <c r="I3521" i="4" s="1"/>
  <c r="K3520" i="4"/>
  <c r="J3520" i="4"/>
  <c r="H3520" i="4"/>
  <c r="I3520" i="4" s="1"/>
  <c r="K3519" i="4"/>
  <c r="J3519" i="4"/>
  <c r="H3519" i="4"/>
  <c r="I3519" i="4" s="1"/>
  <c r="K3518" i="4"/>
  <c r="J3518" i="4"/>
  <c r="H3518" i="4"/>
  <c r="I3518" i="4" s="1"/>
  <c r="K3517" i="4"/>
  <c r="J3517" i="4"/>
  <c r="H3517" i="4"/>
  <c r="I3517" i="4" s="1"/>
  <c r="K3516" i="4"/>
  <c r="J3516" i="4"/>
  <c r="H3516" i="4"/>
  <c r="I3516" i="4" s="1"/>
  <c r="K3515" i="4"/>
  <c r="J3515" i="4"/>
  <c r="H3515" i="4"/>
  <c r="I3515" i="4" s="1"/>
  <c r="K3514" i="4"/>
  <c r="J3514" i="4"/>
  <c r="H3514" i="4"/>
  <c r="I3514" i="4" s="1"/>
  <c r="K3513" i="4"/>
  <c r="J3513" i="4"/>
  <c r="H3513" i="4"/>
  <c r="I3513" i="4" s="1"/>
  <c r="K3512" i="4"/>
  <c r="J3512" i="4"/>
  <c r="H3512" i="4"/>
  <c r="I3512" i="4" s="1"/>
  <c r="K3511" i="4"/>
  <c r="J3511" i="4"/>
  <c r="H3511" i="4"/>
  <c r="I3511" i="4" s="1"/>
  <c r="K3510" i="4"/>
  <c r="J3510" i="4"/>
  <c r="H3510" i="4"/>
  <c r="I3510" i="4" s="1"/>
  <c r="K3509" i="4"/>
  <c r="J3509" i="4"/>
  <c r="H3509" i="4"/>
  <c r="I3509" i="4" s="1"/>
  <c r="K3508" i="4"/>
  <c r="J3508" i="4"/>
  <c r="H3508" i="4"/>
  <c r="I3508" i="4" s="1"/>
  <c r="K3507" i="4"/>
  <c r="J3507" i="4"/>
  <c r="H3507" i="4"/>
  <c r="I3507" i="4" s="1"/>
  <c r="K3506" i="4"/>
  <c r="J3506" i="4"/>
  <c r="H3506" i="4"/>
  <c r="I3506" i="4" s="1"/>
  <c r="K3505" i="4"/>
  <c r="J3505" i="4"/>
  <c r="H3505" i="4"/>
  <c r="I3505" i="4" s="1"/>
  <c r="K3504" i="4"/>
  <c r="J3504" i="4"/>
  <c r="H3504" i="4"/>
  <c r="I3504" i="4" s="1"/>
  <c r="K3503" i="4"/>
  <c r="J3503" i="4"/>
  <c r="H3503" i="4"/>
  <c r="I3503" i="4" s="1"/>
  <c r="K3502" i="4"/>
  <c r="J3502" i="4"/>
  <c r="H3502" i="4"/>
  <c r="I3502" i="4" s="1"/>
  <c r="K3501" i="4"/>
  <c r="J3501" i="4"/>
  <c r="H3501" i="4"/>
  <c r="I3501" i="4" s="1"/>
  <c r="K3500" i="4"/>
  <c r="J3500" i="4"/>
  <c r="H3500" i="4"/>
  <c r="I3500" i="4" s="1"/>
  <c r="K3499" i="4"/>
  <c r="J3499" i="4"/>
  <c r="H3499" i="4"/>
  <c r="I3499" i="4" s="1"/>
  <c r="K3498" i="4"/>
  <c r="J3498" i="4"/>
  <c r="H3498" i="4"/>
  <c r="I3498" i="4" s="1"/>
  <c r="K3497" i="4"/>
  <c r="J3497" i="4"/>
  <c r="H3497" i="4"/>
  <c r="I3497" i="4" s="1"/>
  <c r="K3496" i="4"/>
  <c r="J3496" i="4"/>
  <c r="H3496" i="4"/>
  <c r="I3496" i="4" s="1"/>
  <c r="K3495" i="4"/>
  <c r="J3495" i="4"/>
  <c r="H3495" i="4"/>
  <c r="I3495" i="4" s="1"/>
  <c r="K3494" i="4"/>
  <c r="J3494" i="4"/>
  <c r="H3494" i="4"/>
  <c r="I3494" i="4" s="1"/>
  <c r="K3493" i="4"/>
  <c r="J3493" i="4"/>
  <c r="H3493" i="4"/>
  <c r="I3493" i="4" s="1"/>
  <c r="K3492" i="4"/>
  <c r="J3492" i="4"/>
  <c r="H3492" i="4"/>
  <c r="I3492" i="4" s="1"/>
  <c r="K3491" i="4"/>
  <c r="J3491" i="4"/>
  <c r="H3491" i="4"/>
  <c r="I3491" i="4" s="1"/>
  <c r="K3490" i="4"/>
  <c r="J3490" i="4"/>
  <c r="H3490" i="4"/>
  <c r="I3490" i="4" s="1"/>
  <c r="K3489" i="4"/>
  <c r="J3489" i="4"/>
  <c r="H3489" i="4"/>
  <c r="I3489" i="4" s="1"/>
  <c r="K3488" i="4"/>
  <c r="J3488" i="4"/>
  <c r="H3488" i="4"/>
  <c r="I3488" i="4" s="1"/>
  <c r="K3487" i="4"/>
  <c r="J3487" i="4"/>
  <c r="H3487" i="4"/>
  <c r="I3487" i="4" s="1"/>
  <c r="K3486" i="4"/>
  <c r="J3486" i="4"/>
  <c r="H3486" i="4"/>
  <c r="I3486" i="4" s="1"/>
  <c r="K3485" i="4"/>
  <c r="J3485" i="4"/>
  <c r="H3485" i="4"/>
  <c r="I3485" i="4" s="1"/>
  <c r="K3484" i="4"/>
  <c r="J3484" i="4"/>
  <c r="H3484" i="4"/>
  <c r="I3484" i="4" s="1"/>
  <c r="K3483" i="4"/>
  <c r="J3483" i="4"/>
  <c r="H3483" i="4"/>
  <c r="I3483" i="4" s="1"/>
  <c r="K3482" i="4"/>
  <c r="J3482" i="4"/>
  <c r="H3482" i="4"/>
  <c r="I3482" i="4" s="1"/>
  <c r="K3481" i="4"/>
  <c r="J3481" i="4"/>
  <c r="H3481" i="4"/>
  <c r="I3481" i="4" s="1"/>
  <c r="K3480" i="4"/>
  <c r="J3480" i="4"/>
  <c r="H3480" i="4"/>
  <c r="I3480" i="4" s="1"/>
  <c r="K3479" i="4"/>
  <c r="J3479" i="4"/>
  <c r="H3479" i="4"/>
  <c r="I3479" i="4" s="1"/>
  <c r="K3478" i="4"/>
  <c r="J3478" i="4"/>
  <c r="H3478" i="4"/>
  <c r="I3478" i="4" s="1"/>
  <c r="K3477" i="4"/>
  <c r="J3477" i="4"/>
  <c r="H3477" i="4"/>
  <c r="I3477" i="4" s="1"/>
  <c r="K3476" i="4"/>
  <c r="J3476" i="4"/>
  <c r="H3476" i="4"/>
  <c r="I3476" i="4" s="1"/>
  <c r="K3475" i="4"/>
  <c r="J3475" i="4"/>
  <c r="H3475" i="4"/>
  <c r="I3475" i="4" s="1"/>
  <c r="K3474" i="4"/>
  <c r="J3474" i="4"/>
  <c r="H3474" i="4"/>
  <c r="I3474" i="4" s="1"/>
  <c r="K3473" i="4"/>
  <c r="J3473" i="4"/>
  <c r="H3473" i="4"/>
  <c r="I3473" i="4" s="1"/>
  <c r="K3472" i="4"/>
  <c r="J3472" i="4"/>
  <c r="H3472" i="4"/>
  <c r="I3472" i="4" s="1"/>
  <c r="K3471" i="4"/>
  <c r="J3471" i="4"/>
  <c r="H3471" i="4"/>
  <c r="I3471" i="4" s="1"/>
  <c r="K3470" i="4"/>
  <c r="J3470" i="4"/>
  <c r="H3470" i="4"/>
  <c r="I3470" i="4" s="1"/>
  <c r="K3469" i="4"/>
  <c r="J3469" i="4"/>
  <c r="H3469" i="4"/>
  <c r="I3469" i="4" s="1"/>
  <c r="K3468" i="4"/>
  <c r="J3468" i="4"/>
  <c r="H3468" i="4"/>
  <c r="I3468" i="4" s="1"/>
  <c r="K3467" i="4"/>
  <c r="J3467" i="4"/>
  <c r="H3467" i="4"/>
  <c r="I3467" i="4" s="1"/>
  <c r="K3466" i="4"/>
  <c r="J3466" i="4"/>
  <c r="H3466" i="4"/>
  <c r="I3466" i="4" s="1"/>
  <c r="K3465" i="4"/>
  <c r="J3465" i="4"/>
  <c r="H3465" i="4"/>
  <c r="I3465" i="4" s="1"/>
  <c r="K3464" i="4"/>
  <c r="J3464" i="4"/>
  <c r="H3464" i="4"/>
  <c r="I3464" i="4" s="1"/>
  <c r="K3463" i="4"/>
  <c r="J3463" i="4"/>
  <c r="H3463" i="4"/>
  <c r="I3463" i="4" s="1"/>
  <c r="K3462" i="4"/>
  <c r="J3462" i="4"/>
  <c r="H3462" i="4"/>
  <c r="I3462" i="4" s="1"/>
  <c r="K3461" i="4"/>
  <c r="J3461" i="4"/>
  <c r="H3461" i="4"/>
  <c r="I3461" i="4" s="1"/>
  <c r="K3460" i="4"/>
  <c r="J3460" i="4"/>
  <c r="H3460" i="4"/>
  <c r="I3460" i="4" s="1"/>
  <c r="K3459" i="4"/>
  <c r="J3459" i="4"/>
  <c r="H3459" i="4"/>
  <c r="I3459" i="4" s="1"/>
  <c r="K3458" i="4"/>
  <c r="J3458" i="4"/>
  <c r="H3458" i="4"/>
  <c r="I3458" i="4" s="1"/>
  <c r="K3457" i="4"/>
  <c r="J3457" i="4"/>
  <c r="H3457" i="4"/>
  <c r="I3457" i="4" s="1"/>
  <c r="K3456" i="4"/>
  <c r="J3456" i="4"/>
  <c r="H3456" i="4"/>
  <c r="I3456" i="4" s="1"/>
  <c r="K3455" i="4"/>
  <c r="J3455" i="4"/>
  <c r="H3455" i="4"/>
  <c r="I3455" i="4" s="1"/>
  <c r="K3454" i="4"/>
  <c r="J3454" i="4"/>
  <c r="H3454" i="4"/>
  <c r="I3454" i="4" s="1"/>
  <c r="K3453" i="4"/>
  <c r="J3453" i="4"/>
  <c r="H3453" i="4"/>
  <c r="I3453" i="4" s="1"/>
  <c r="K3452" i="4"/>
  <c r="J3452" i="4"/>
  <c r="H3452" i="4"/>
  <c r="I3452" i="4" s="1"/>
  <c r="K3451" i="4"/>
  <c r="J3451" i="4"/>
  <c r="H3451" i="4"/>
  <c r="I3451" i="4" s="1"/>
  <c r="K3450" i="4"/>
  <c r="J3450" i="4"/>
  <c r="H3450" i="4"/>
  <c r="I3450" i="4" s="1"/>
  <c r="K3449" i="4"/>
  <c r="J3449" i="4"/>
  <c r="H3449" i="4"/>
  <c r="I3449" i="4" s="1"/>
  <c r="K3448" i="4"/>
  <c r="J3448" i="4"/>
  <c r="H3448" i="4"/>
  <c r="I3448" i="4" s="1"/>
  <c r="K3447" i="4"/>
  <c r="J3447" i="4"/>
  <c r="H3447" i="4"/>
  <c r="I3447" i="4" s="1"/>
  <c r="K3446" i="4"/>
  <c r="J3446" i="4"/>
  <c r="H3446" i="4"/>
  <c r="I3446" i="4" s="1"/>
  <c r="K3445" i="4"/>
  <c r="J3445" i="4"/>
  <c r="H3445" i="4"/>
  <c r="I3445" i="4" s="1"/>
  <c r="K3444" i="4"/>
  <c r="J3444" i="4"/>
  <c r="H3444" i="4"/>
  <c r="I3444" i="4" s="1"/>
  <c r="K3443" i="4"/>
  <c r="J3443" i="4"/>
  <c r="H3443" i="4"/>
  <c r="I3443" i="4" s="1"/>
  <c r="K3442" i="4"/>
  <c r="J3442" i="4"/>
  <c r="H3442" i="4"/>
  <c r="I3442" i="4" s="1"/>
  <c r="K3441" i="4"/>
  <c r="J3441" i="4"/>
  <c r="H3441" i="4"/>
  <c r="I3441" i="4" s="1"/>
  <c r="K3440" i="4"/>
  <c r="J3440" i="4"/>
  <c r="H3440" i="4"/>
  <c r="I3440" i="4" s="1"/>
  <c r="K3439" i="4"/>
  <c r="J3439" i="4"/>
  <c r="H3439" i="4"/>
  <c r="I3439" i="4" s="1"/>
  <c r="K3438" i="4"/>
  <c r="J3438" i="4"/>
  <c r="H3438" i="4"/>
  <c r="I3438" i="4" s="1"/>
  <c r="K3437" i="4"/>
  <c r="J3437" i="4"/>
  <c r="H3437" i="4"/>
  <c r="I3437" i="4" s="1"/>
  <c r="K3436" i="4"/>
  <c r="J3436" i="4"/>
  <c r="H3436" i="4"/>
  <c r="I3436" i="4" s="1"/>
  <c r="K3435" i="4"/>
  <c r="J3435" i="4"/>
  <c r="H3435" i="4"/>
  <c r="I3435" i="4" s="1"/>
  <c r="K3434" i="4"/>
  <c r="J3434" i="4"/>
  <c r="H3434" i="4"/>
  <c r="I3434" i="4" s="1"/>
  <c r="K3433" i="4"/>
  <c r="J3433" i="4"/>
  <c r="H3433" i="4"/>
  <c r="I3433" i="4" s="1"/>
  <c r="K3432" i="4"/>
  <c r="J3432" i="4"/>
  <c r="H3432" i="4"/>
  <c r="I3432" i="4" s="1"/>
  <c r="K3431" i="4"/>
  <c r="J3431" i="4"/>
  <c r="H3431" i="4"/>
  <c r="I3431" i="4" s="1"/>
  <c r="K3430" i="4"/>
  <c r="J3430" i="4"/>
  <c r="H3430" i="4"/>
  <c r="I3430" i="4" s="1"/>
  <c r="K3429" i="4"/>
  <c r="J3429" i="4"/>
  <c r="H3429" i="4"/>
  <c r="I3429" i="4" s="1"/>
  <c r="K3428" i="4"/>
  <c r="J3428" i="4"/>
  <c r="H3428" i="4"/>
  <c r="I3428" i="4" s="1"/>
  <c r="K3427" i="4"/>
  <c r="J3427" i="4"/>
  <c r="H3427" i="4"/>
  <c r="I3427" i="4" s="1"/>
  <c r="K3426" i="4"/>
  <c r="J3426" i="4"/>
  <c r="H3426" i="4"/>
  <c r="I3426" i="4" s="1"/>
  <c r="K3425" i="4"/>
  <c r="J3425" i="4"/>
  <c r="H3425" i="4"/>
  <c r="I3425" i="4" s="1"/>
  <c r="K3424" i="4"/>
  <c r="J3424" i="4"/>
  <c r="H3424" i="4"/>
  <c r="I3424" i="4" s="1"/>
  <c r="K3423" i="4"/>
  <c r="J3423" i="4"/>
  <c r="H3423" i="4"/>
  <c r="I3423" i="4" s="1"/>
  <c r="K3422" i="4"/>
  <c r="J3422" i="4"/>
  <c r="H3422" i="4"/>
  <c r="I3422" i="4" s="1"/>
  <c r="K3421" i="4"/>
  <c r="J3421" i="4"/>
  <c r="H3421" i="4"/>
  <c r="I3421" i="4" s="1"/>
  <c r="K3420" i="4"/>
  <c r="J3420" i="4"/>
  <c r="H3420" i="4"/>
  <c r="I3420" i="4" s="1"/>
  <c r="K3419" i="4"/>
  <c r="J3419" i="4"/>
  <c r="H3419" i="4"/>
  <c r="I3419" i="4" s="1"/>
  <c r="K3418" i="4"/>
  <c r="J3418" i="4"/>
  <c r="H3418" i="4"/>
  <c r="I3418" i="4" s="1"/>
  <c r="K3417" i="4"/>
  <c r="J3417" i="4"/>
  <c r="H3417" i="4"/>
  <c r="I3417" i="4" s="1"/>
  <c r="K3416" i="4"/>
  <c r="J3416" i="4"/>
  <c r="H3416" i="4"/>
  <c r="I3416" i="4" s="1"/>
  <c r="K3415" i="4"/>
  <c r="J3415" i="4"/>
  <c r="H3415" i="4"/>
  <c r="I3415" i="4" s="1"/>
  <c r="K3414" i="4"/>
  <c r="J3414" i="4"/>
  <c r="H3414" i="4"/>
  <c r="I3414" i="4" s="1"/>
  <c r="K3413" i="4"/>
  <c r="J3413" i="4"/>
  <c r="H3413" i="4"/>
  <c r="I3413" i="4" s="1"/>
  <c r="K3412" i="4"/>
  <c r="J3412" i="4"/>
  <c r="H3412" i="4"/>
  <c r="I3412" i="4" s="1"/>
  <c r="K3411" i="4"/>
  <c r="J3411" i="4"/>
  <c r="H3411" i="4"/>
  <c r="I3411" i="4" s="1"/>
  <c r="K3410" i="4"/>
  <c r="J3410" i="4"/>
  <c r="H3410" i="4"/>
  <c r="I3410" i="4" s="1"/>
  <c r="K3409" i="4"/>
  <c r="J3409" i="4"/>
  <c r="H3409" i="4"/>
  <c r="I3409" i="4" s="1"/>
  <c r="K3408" i="4"/>
  <c r="J3408" i="4"/>
  <c r="H3408" i="4"/>
  <c r="I3408" i="4" s="1"/>
  <c r="K3407" i="4"/>
  <c r="J3407" i="4"/>
  <c r="H3407" i="4"/>
  <c r="I3407" i="4" s="1"/>
  <c r="K3406" i="4"/>
  <c r="J3406" i="4"/>
  <c r="H3406" i="4"/>
  <c r="I3406" i="4" s="1"/>
  <c r="K3405" i="4"/>
  <c r="J3405" i="4"/>
  <c r="H3405" i="4"/>
  <c r="I3405" i="4" s="1"/>
  <c r="K3404" i="4"/>
  <c r="J3404" i="4"/>
  <c r="H3404" i="4"/>
  <c r="I3404" i="4" s="1"/>
  <c r="K3403" i="4"/>
  <c r="J3403" i="4"/>
  <c r="H3403" i="4"/>
  <c r="I3403" i="4" s="1"/>
  <c r="K3402" i="4"/>
  <c r="J3402" i="4"/>
  <c r="H3402" i="4"/>
  <c r="I3402" i="4" s="1"/>
  <c r="K3401" i="4"/>
  <c r="J3401" i="4"/>
  <c r="H3401" i="4"/>
  <c r="I3401" i="4" s="1"/>
  <c r="K3400" i="4"/>
  <c r="J3400" i="4"/>
  <c r="H3400" i="4"/>
  <c r="I3400" i="4" s="1"/>
  <c r="K3399" i="4"/>
  <c r="J3399" i="4"/>
  <c r="H3399" i="4"/>
  <c r="I3399" i="4" s="1"/>
  <c r="K3398" i="4"/>
  <c r="J3398" i="4"/>
  <c r="H3398" i="4"/>
  <c r="I3398" i="4" s="1"/>
  <c r="K3397" i="4"/>
  <c r="J3397" i="4"/>
  <c r="H3397" i="4"/>
  <c r="I3397" i="4" s="1"/>
  <c r="K3396" i="4"/>
  <c r="J3396" i="4"/>
  <c r="H3396" i="4"/>
  <c r="I3396" i="4" s="1"/>
  <c r="K3395" i="4"/>
  <c r="J3395" i="4"/>
  <c r="H3395" i="4"/>
  <c r="I3395" i="4" s="1"/>
  <c r="K3394" i="4"/>
  <c r="J3394" i="4"/>
  <c r="H3394" i="4"/>
  <c r="I3394" i="4" s="1"/>
  <c r="K3393" i="4"/>
  <c r="J3393" i="4"/>
  <c r="H3393" i="4"/>
  <c r="I3393" i="4" s="1"/>
  <c r="K3392" i="4"/>
  <c r="J3392" i="4"/>
  <c r="H3392" i="4"/>
  <c r="I3392" i="4" s="1"/>
  <c r="K3391" i="4"/>
  <c r="J3391" i="4"/>
  <c r="H3391" i="4"/>
  <c r="I3391" i="4" s="1"/>
  <c r="K3390" i="4"/>
  <c r="J3390" i="4"/>
  <c r="H3390" i="4"/>
  <c r="I3390" i="4" s="1"/>
  <c r="K3389" i="4"/>
  <c r="J3389" i="4"/>
  <c r="H3389" i="4"/>
  <c r="I3389" i="4" s="1"/>
  <c r="K3388" i="4"/>
  <c r="J3388" i="4"/>
  <c r="H3388" i="4"/>
  <c r="I3388" i="4" s="1"/>
  <c r="K3387" i="4"/>
  <c r="J3387" i="4"/>
  <c r="H3387" i="4"/>
  <c r="I3387" i="4" s="1"/>
  <c r="K3386" i="4"/>
  <c r="J3386" i="4"/>
  <c r="H3386" i="4"/>
  <c r="I3386" i="4" s="1"/>
  <c r="K3385" i="4"/>
  <c r="J3385" i="4"/>
  <c r="H3385" i="4"/>
  <c r="I3385" i="4" s="1"/>
  <c r="K3384" i="4"/>
  <c r="J3384" i="4"/>
  <c r="H3384" i="4"/>
  <c r="I3384" i="4" s="1"/>
  <c r="K3383" i="4"/>
  <c r="J3383" i="4"/>
  <c r="H3383" i="4"/>
  <c r="I3383" i="4" s="1"/>
  <c r="K3382" i="4"/>
  <c r="J3382" i="4"/>
  <c r="H3382" i="4"/>
  <c r="I3382" i="4" s="1"/>
  <c r="K3381" i="4"/>
  <c r="J3381" i="4"/>
  <c r="H3381" i="4"/>
  <c r="I3381" i="4" s="1"/>
  <c r="K3380" i="4"/>
  <c r="J3380" i="4"/>
  <c r="H3380" i="4"/>
  <c r="I3380" i="4" s="1"/>
  <c r="K3379" i="4"/>
  <c r="J3379" i="4"/>
  <c r="H3379" i="4"/>
  <c r="I3379" i="4" s="1"/>
  <c r="K3378" i="4"/>
  <c r="J3378" i="4"/>
  <c r="H3378" i="4"/>
  <c r="I3378" i="4" s="1"/>
  <c r="K3377" i="4"/>
  <c r="J3377" i="4"/>
  <c r="H3377" i="4"/>
  <c r="I3377" i="4" s="1"/>
  <c r="K3376" i="4"/>
  <c r="J3376" i="4"/>
  <c r="H3376" i="4"/>
  <c r="I3376" i="4" s="1"/>
  <c r="K3375" i="4"/>
  <c r="J3375" i="4"/>
  <c r="H3375" i="4"/>
  <c r="I3375" i="4" s="1"/>
  <c r="K3374" i="4"/>
  <c r="J3374" i="4"/>
  <c r="H3374" i="4"/>
  <c r="I3374" i="4" s="1"/>
  <c r="K3373" i="4"/>
  <c r="J3373" i="4"/>
  <c r="H3373" i="4"/>
  <c r="I3373" i="4" s="1"/>
  <c r="K3372" i="4"/>
  <c r="J3372" i="4"/>
  <c r="H3372" i="4"/>
  <c r="I3372" i="4" s="1"/>
  <c r="K3371" i="4"/>
  <c r="J3371" i="4"/>
  <c r="H3371" i="4"/>
  <c r="I3371" i="4" s="1"/>
  <c r="K3370" i="4"/>
  <c r="J3370" i="4"/>
  <c r="H3370" i="4"/>
  <c r="I3370" i="4" s="1"/>
  <c r="K3369" i="4"/>
  <c r="J3369" i="4"/>
  <c r="H3369" i="4"/>
  <c r="I3369" i="4" s="1"/>
  <c r="K3368" i="4"/>
  <c r="J3368" i="4"/>
  <c r="H3368" i="4"/>
  <c r="I3368" i="4" s="1"/>
  <c r="K3367" i="4"/>
  <c r="J3367" i="4"/>
  <c r="H3367" i="4"/>
  <c r="I3367" i="4" s="1"/>
  <c r="K3366" i="4"/>
  <c r="J3366" i="4"/>
  <c r="H3366" i="4"/>
  <c r="I3366" i="4" s="1"/>
  <c r="K3365" i="4"/>
  <c r="J3365" i="4"/>
  <c r="H3365" i="4"/>
  <c r="I3365" i="4" s="1"/>
  <c r="K3364" i="4"/>
  <c r="J3364" i="4"/>
  <c r="H3364" i="4"/>
  <c r="I3364" i="4" s="1"/>
  <c r="K3363" i="4"/>
  <c r="J3363" i="4"/>
  <c r="H3363" i="4"/>
  <c r="I3363" i="4" s="1"/>
  <c r="K3362" i="4"/>
  <c r="J3362" i="4"/>
  <c r="H3362" i="4"/>
  <c r="I3362" i="4" s="1"/>
  <c r="K3361" i="4"/>
  <c r="J3361" i="4"/>
  <c r="H3361" i="4"/>
  <c r="I3361" i="4" s="1"/>
  <c r="K3360" i="4"/>
  <c r="J3360" i="4"/>
  <c r="H3360" i="4"/>
  <c r="I3360" i="4" s="1"/>
  <c r="K3359" i="4"/>
  <c r="J3359" i="4"/>
  <c r="H3359" i="4"/>
  <c r="I3359" i="4" s="1"/>
  <c r="K3358" i="4"/>
  <c r="J3358" i="4"/>
  <c r="H3358" i="4"/>
  <c r="I3358" i="4" s="1"/>
  <c r="K3357" i="4"/>
  <c r="J3357" i="4"/>
  <c r="H3357" i="4"/>
  <c r="I3357" i="4" s="1"/>
  <c r="K3356" i="4"/>
  <c r="J3356" i="4"/>
  <c r="H3356" i="4"/>
  <c r="I3356" i="4" s="1"/>
  <c r="K3355" i="4"/>
  <c r="J3355" i="4"/>
  <c r="H3355" i="4"/>
  <c r="I3355" i="4" s="1"/>
  <c r="K3354" i="4"/>
  <c r="J3354" i="4"/>
  <c r="H3354" i="4"/>
  <c r="I3354" i="4" s="1"/>
  <c r="K3353" i="4"/>
  <c r="J3353" i="4"/>
  <c r="H3353" i="4"/>
  <c r="I3353" i="4" s="1"/>
  <c r="K3352" i="4"/>
  <c r="J3352" i="4"/>
  <c r="H3352" i="4"/>
  <c r="I3352" i="4" s="1"/>
  <c r="K3351" i="4"/>
  <c r="J3351" i="4"/>
  <c r="H3351" i="4"/>
  <c r="I3351" i="4" s="1"/>
  <c r="K3350" i="4"/>
  <c r="J3350" i="4"/>
  <c r="H3350" i="4"/>
  <c r="I3350" i="4" s="1"/>
  <c r="K3349" i="4"/>
  <c r="J3349" i="4"/>
  <c r="H3349" i="4"/>
  <c r="I3349" i="4" s="1"/>
  <c r="K3348" i="4"/>
  <c r="J3348" i="4"/>
  <c r="H3348" i="4"/>
  <c r="I3348" i="4" s="1"/>
  <c r="K3347" i="4"/>
  <c r="J3347" i="4"/>
  <c r="H3347" i="4"/>
  <c r="I3347" i="4" s="1"/>
  <c r="K3346" i="4"/>
  <c r="J3346" i="4"/>
  <c r="H3346" i="4"/>
  <c r="I3346" i="4" s="1"/>
  <c r="K3345" i="4"/>
  <c r="J3345" i="4"/>
  <c r="H3345" i="4"/>
  <c r="I3345" i="4" s="1"/>
  <c r="K3344" i="4"/>
  <c r="J3344" i="4"/>
  <c r="H3344" i="4"/>
  <c r="I3344" i="4" s="1"/>
  <c r="K3343" i="4"/>
  <c r="J3343" i="4"/>
  <c r="H3343" i="4"/>
  <c r="I3343" i="4" s="1"/>
  <c r="K3342" i="4"/>
  <c r="J3342" i="4"/>
  <c r="H3342" i="4"/>
  <c r="I3342" i="4" s="1"/>
  <c r="K3341" i="4"/>
  <c r="J3341" i="4"/>
  <c r="H3341" i="4"/>
  <c r="I3341" i="4" s="1"/>
  <c r="K3340" i="4"/>
  <c r="J3340" i="4"/>
  <c r="H3340" i="4"/>
  <c r="I3340" i="4" s="1"/>
  <c r="K3339" i="4"/>
  <c r="J3339" i="4"/>
  <c r="H3339" i="4"/>
  <c r="I3339" i="4" s="1"/>
  <c r="K3338" i="4"/>
  <c r="J3338" i="4"/>
  <c r="H3338" i="4"/>
  <c r="I3338" i="4" s="1"/>
  <c r="K3337" i="4"/>
  <c r="J3337" i="4"/>
  <c r="H3337" i="4"/>
  <c r="I3337" i="4" s="1"/>
  <c r="K3336" i="4"/>
  <c r="J3336" i="4"/>
  <c r="H3336" i="4"/>
  <c r="I3336" i="4" s="1"/>
  <c r="K3335" i="4"/>
  <c r="J3335" i="4"/>
  <c r="H3335" i="4"/>
  <c r="I3335" i="4" s="1"/>
  <c r="K3334" i="4"/>
  <c r="J3334" i="4"/>
  <c r="H3334" i="4"/>
  <c r="I3334" i="4" s="1"/>
  <c r="K3333" i="4"/>
  <c r="J3333" i="4"/>
  <c r="H3333" i="4"/>
  <c r="I3333" i="4" s="1"/>
  <c r="K3332" i="4"/>
  <c r="J3332" i="4"/>
  <c r="H3332" i="4"/>
  <c r="I3332" i="4" s="1"/>
  <c r="K3331" i="4"/>
  <c r="J3331" i="4"/>
  <c r="H3331" i="4"/>
  <c r="I3331" i="4" s="1"/>
  <c r="K3330" i="4"/>
  <c r="J3330" i="4"/>
  <c r="H3330" i="4"/>
  <c r="I3330" i="4" s="1"/>
  <c r="K3329" i="4"/>
  <c r="J3329" i="4"/>
  <c r="H3329" i="4"/>
  <c r="I3329" i="4" s="1"/>
  <c r="K3328" i="4"/>
  <c r="J3328" i="4"/>
  <c r="H3328" i="4"/>
  <c r="I3328" i="4" s="1"/>
  <c r="K3327" i="4"/>
  <c r="J3327" i="4"/>
  <c r="H3327" i="4"/>
  <c r="I3327" i="4" s="1"/>
  <c r="K3326" i="4"/>
  <c r="J3326" i="4"/>
  <c r="H3326" i="4"/>
  <c r="I3326" i="4" s="1"/>
  <c r="K3325" i="4"/>
  <c r="J3325" i="4"/>
  <c r="H3325" i="4"/>
  <c r="I3325" i="4" s="1"/>
  <c r="K3324" i="4"/>
  <c r="J3324" i="4"/>
  <c r="H3324" i="4"/>
  <c r="I3324" i="4" s="1"/>
  <c r="K3323" i="4"/>
  <c r="J3323" i="4"/>
  <c r="H3323" i="4"/>
  <c r="I3323" i="4" s="1"/>
  <c r="K3322" i="4"/>
  <c r="J3322" i="4"/>
  <c r="H3322" i="4"/>
  <c r="I3322" i="4" s="1"/>
  <c r="K3321" i="4"/>
  <c r="J3321" i="4"/>
  <c r="H3321" i="4"/>
  <c r="I3321" i="4" s="1"/>
  <c r="K3320" i="4"/>
  <c r="J3320" i="4"/>
  <c r="H3320" i="4"/>
  <c r="I3320" i="4" s="1"/>
  <c r="K3319" i="4"/>
  <c r="J3319" i="4"/>
  <c r="H3319" i="4"/>
  <c r="I3319" i="4" s="1"/>
  <c r="K3318" i="4"/>
  <c r="J3318" i="4"/>
  <c r="H3318" i="4"/>
  <c r="I3318" i="4" s="1"/>
  <c r="K3317" i="4"/>
  <c r="J3317" i="4"/>
  <c r="H3317" i="4"/>
  <c r="I3317" i="4" s="1"/>
  <c r="K3316" i="4"/>
  <c r="J3316" i="4"/>
  <c r="H3316" i="4"/>
  <c r="I3316" i="4" s="1"/>
  <c r="K3315" i="4"/>
  <c r="J3315" i="4"/>
  <c r="H3315" i="4"/>
  <c r="I3315" i="4" s="1"/>
  <c r="K3314" i="4"/>
  <c r="J3314" i="4"/>
  <c r="H3314" i="4"/>
  <c r="I3314" i="4" s="1"/>
  <c r="K3313" i="4"/>
  <c r="J3313" i="4"/>
  <c r="H3313" i="4"/>
  <c r="I3313" i="4" s="1"/>
  <c r="K3312" i="4"/>
  <c r="J3312" i="4"/>
  <c r="H3312" i="4"/>
  <c r="I3312" i="4" s="1"/>
  <c r="K3311" i="4"/>
  <c r="J3311" i="4"/>
  <c r="H3311" i="4"/>
  <c r="I3311" i="4" s="1"/>
  <c r="K3310" i="4"/>
  <c r="J3310" i="4"/>
  <c r="H3310" i="4"/>
  <c r="I3310" i="4" s="1"/>
  <c r="K3309" i="4"/>
  <c r="J3309" i="4"/>
  <c r="H3309" i="4"/>
  <c r="I3309" i="4" s="1"/>
  <c r="K3308" i="4"/>
  <c r="J3308" i="4"/>
  <c r="H3308" i="4"/>
  <c r="I3308" i="4" s="1"/>
  <c r="K3307" i="4"/>
  <c r="J3307" i="4"/>
  <c r="H3307" i="4"/>
  <c r="I3307" i="4" s="1"/>
  <c r="K3306" i="4"/>
  <c r="J3306" i="4"/>
  <c r="H3306" i="4"/>
  <c r="I3306" i="4" s="1"/>
  <c r="K3305" i="4"/>
  <c r="J3305" i="4"/>
  <c r="H3305" i="4"/>
  <c r="I3305" i="4" s="1"/>
  <c r="K3304" i="4"/>
  <c r="J3304" i="4"/>
  <c r="H3304" i="4"/>
  <c r="I3304" i="4" s="1"/>
  <c r="K3303" i="4"/>
  <c r="J3303" i="4"/>
  <c r="H3303" i="4"/>
  <c r="I3303" i="4" s="1"/>
  <c r="K3302" i="4"/>
  <c r="J3302" i="4"/>
  <c r="H3302" i="4"/>
  <c r="I3302" i="4" s="1"/>
  <c r="K3301" i="4"/>
  <c r="J3301" i="4"/>
  <c r="H3301" i="4"/>
  <c r="I3301" i="4" s="1"/>
  <c r="K3300" i="4"/>
  <c r="J3300" i="4"/>
  <c r="H3300" i="4"/>
  <c r="I3300" i="4" s="1"/>
  <c r="K3299" i="4"/>
  <c r="J3299" i="4"/>
  <c r="H3299" i="4"/>
  <c r="I3299" i="4" s="1"/>
  <c r="K3298" i="4"/>
  <c r="J3298" i="4"/>
  <c r="H3298" i="4"/>
  <c r="I3298" i="4" s="1"/>
  <c r="K3297" i="4"/>
  <c r="J3297" i="4"/>
  <c r="H3297" i="4"/>
  <c r="I3297" i="4" s="1"/>
  <c r="K3296" i="4"/>
  <c r="J3296" i="4"/>
  <c r="H3296" i="4"/>
  <c r="I3296" i="4" s="1"/>
  <c r="K3295" i="4"/>
  <c r="J3295" i="4"/>
  <c r="H3295" i="4"/>
  <c r="I3295" i="4" s="1"/>
  <c r="K3294" i="4"/>
  <c r="J3294" i="4"/>
  <c r="H3294" i="4"/>
  <c r="I3294" i="4" s="1"/>
  <c r="K3293" i="4"/>
  <c r="J3293" i="4"/>
  <c r="H3293" i="4"/>
  <c r="I3293" i="4" s="1"/>
  <c r="K3292" i="4"/>
  <c r="J3292" i="4"/>
  <c r="H3292" i="4"/>
  <c r="I3292" i="4" s="1"/>
  <c r="K3291" i="4"/>
  <c r="J3291" i="4"/>
  <c r="H3291" i="4"/>
  <c r="I3291" i="4" s="1"/>
  <c r="K3290" i="4"/>
  <c r="J3290" i="4"/>
  <c r="H3290" i="4"/>
  <c r="I3290" i="4" s="1"/>
  <c r="K3289" i="4"/>
  <c r="J3289" i="4"/>
  <c r="H3289" i="4"/>
  <c r="I3289" i="4" s="1"/>
  <c r="K3288" i="4"/>
  <c r="J3288" i="4"/>
  <c r="H3288" i="4"/>
  <c r="I3288" i="4" s="1"/>
  <c r="K3287" i="4"/>
  <c r="J3287" i="4"/>
  <c r="H3287" i="4"/>
  <c r="I3287" i="4" s="1"/>
  <c r="K3286" i="4"/>
  <c r="J3286" i="4"/>
  <c r="H3286" i="4"/>
  <c r="I3286" i="4" s="1"/>
  <c r="K3285" i="4"/>
  <c r="J3285" i="4"/>
  <c r="H3285" i="4"/>
  <c r="I3285" i="4" s="1"/>
  <c r="K3284" i="4"/>
  <c r="J3284" i="4"/>
  <c r="H3284" i="4"/>
  <c r="I3284" i="4" s="1"/>
  <c r="K3283" i="4"/>
  <c r="J3283" i="4"/>
  <c r="H3283" i="4"/>
  <c r="I3283" i="4" s="1"/>
  <c r="K3282" i="4"/>
  <c r="J3282" i="4"/>
  <c r="H3282" i="4"/>
  <c r="I3282" i="4" s="1"/>
  <c r="K3281" i="4"/>
  <c r="J3281" i="4"/>
  <c r="H3281" i="4"/>
  <c r="I3281" i="4" s="1"/>
  <c r="K3280" i="4"/>
  <c r="J3280" i="4"/>
  <c r="H3280" i="4"/>
  <c r="I3280" i="4" s="1"/>
  <c r="K3279" i="4"/>
  <c r="J3279" i="4"/>
  <c r="H3279" i="4"/>
  <c r="I3279" i="4" s="1"/>
  <c r="K3278" i="4"/>
  <c r="J3278" i="4"/>
  <c r="H3278" i="4"/>
  <c r="I3278" i="4" s="1"/>
  <c r="K3277" i="4"/>
  <c r="J3277" i="4"/>
  <c r="H3277" i="4"/>
  <c r="I3277" i="4" s="1"/>
  <c r="K3276" i="4"/>
  <c r="J3276" i="4"/>
  <c r="H3276" i="4"/>
  <c r="I3276" i="4" s="1"/>
  <c r="K3275" i="4"/>
  <c r="J3275" i="4"/>
  <c r="H3275" i="4"/>
  <c r="I3275" i="4" s="1"/>
  <c r="K3274" i="4"/>
  <c r="J3274" i="4"/>
  <c r="H3274" i="4"/>
  <c r="I3274" i="4" s="1"/>
  <c r="K3273" i="4"/>
  <c r="J3273" i="4"/>
  <c r="H3273" i="4"/>
  <c r="I3273" i="4" s="1"/>
  <c r="K3272" i="4"/>
  <c r="J3272" i="4"/>
  <c r="H3272" i="4"/>
  <c r="I3272" i="4" s="1"/>
  <c r="K3271" i="4"/>
  <c r="J3271" i="4"/>
  <c r="H3271" i="4"/>
  <c r="I3271" i="4" s="1"/>
  <c r="K3270" i="4"/>
  <c r="J3270" i="4"/>
  <c r="H3270" i="4"/>
  <c r="I3270" i="4" s="1"/>
  <c r="K3269" i="4"/>
  <c r="J3269" i="4"/>
  <c r="H3269" i="4"/>
  <c r="I3269" i="4" s="1"/>
  <c r="K3268" i="4"/>
  <c r="J3268" i="4"/>
  <c r="H3268" i="4"/>
  <c r="I3268" i="4" s="1"/>
  <c r="K3267" i="4"/>
  <c r="J3267" i="4"/>
  <c r="H3267" i="4"/>
  <c r="I3267" i="4" s="1"/>
  <c r="K3266" i="4"/>
  <c r="J3266" i="4"/>
  <c r="H3266" i="4"/>
  <c r="I3266" i="4" s="1"/>
  <c r="K3265" i="4"/>
  <c r="J3265" i="4"/>
  <c r="H3265" i="4"/>
  <c r="I3265" i="4" s="1"/>
  <c r="K3264" i="4"/>
  <c r="J3264" i="4"/>
  <c r="H3264" i="4"/>
  <c r="I3264" i="4" s="1"/>
  <c r="K3263" i="4"/>
  <c r="J3263" i="4"/>
  <c r="H3263" i="4"/>
  <c r="I3263" i="4" s="1"/>
  <c r="K3262" i="4"/>
  <c r="J3262" i="4"/>
  <c r="H3262" i="4"/>
  <c r="I3262" i="4" s="1"/>
  <c r="K3261" i="4"/>
  <c r="J3261" i="4"/>
  <c r="H3261" i="4"/>
  <c r="I3261" i="4" s="1"/>
  <c r="K3260" i="4"/>
  <c r="J3260" i="4"/>
  <c r="H3260" i="4"/>
  <c r="I3260" i="4" s="1"/>
  <c r="K3259" i="4"/>
  <c r="J3259" i="4"/>
  <c r="H3259" i="4"/>
  <c r="I3259" i="4" s="1"/>
  <c r="K3258" i="4"/>
  <c r="J3258" i="4"/>
  <c r="H3258" i="4"/>
  <c r="I3258" i="4" s="1"/>
  <c r="K3257" i="4"/>
  <c r="J3257" i="4"/>
  <c r="H3257" i="4"/>
  <c r="I3257" i="4" s="1"/>
  <c r="K3256" i="4"/>
  <c r="J3256" i="4"/>
  <c r="H3256" i="4"/>
  <c r="I3256" i="4" s="1"/>
  <c r="K3255" i="4"/>
  <c r="J3255" i="4"/>
  <c r="H3255" i="4"/>
  <c r="I3255" i="4" s="1"/>
  <c r="K3254" i="4"/>
  <c r="J3254" i="4"/>
  <c r="H3254" i="4"/>
  <c r="I3254" i="4" s="1"/>
  <c r="K3253" i="4"/>
  <c r="J3253" i="4"/>
  <c r="H3253" i="4"/>
  <c r="I3253" i="4" s="1"/>
  <c r="K3252" i="4"/>
  <c r="J3252" i="4"/>
  <c r="H3252" i="4"/>
  <c r="I3252" i="4" s="1"/>
  <c r="K3251" i="4"/>
  <c r="J3251" i="4"/>
  <c r="H3251" i="4"/>
  <c r="I3251" i="4" s="1"/>
  <c r="K3250" i="4"/>
  <c r="J3250" i="4"/>
  <c r="H3250" i="4"/>
  <c r="I3250" i="4" s="1"/>
  <c r="K3249" i="4"/>
  <c r="J3249" i="4"/>
  <c r="H3249" i="4"/>
  <c r="I3249" i="4" s="1"/>
  <c r="K3248" i="4"/>
  <c r="J3248" i="4"/>
  <c r="H3248" i="4"/>
  <c r="I3248" i="4" s="1"/>
  <c r="K3247" i="4"/>
  <c r="J3247" i="4"/>
  <c r="H3247" i="4"/>
  <c r="I3247" i="4" s="1"/>
  <c r="K3246" i="4"/>
  <c r="J3246" i="4"/>
  <c r="H3246" i="4"/>
  <c r="I3246" i="4" s="1"/>
  <c r="K3245" i="4"/>
  <c r="J3245" i="4"/>
  <c r="H3245" i="4"/>
  <c r="I3245" i="4" s="1"/>
  <c r="K3244" i="4"/>
  <c r="J3244" i="4"/>
  <c r="H3244" i="4"/>
  <c r="I3244" i="4" s="1"/>
  <c r="K3243" i="4"/>
  <c r="J3243" i="4"/>
  <c r="H3243" i="4"/>
  <c r="I3243" i="4" s="1"/>
  <c r="K3242" i="4"/>
  <c r="J3242" i="4"/>
  <c r="H3242" i="4"/>
  <c r="I3242" i="4" s="1"/>
  <c r="K3241" i="4"/>
  <c r="J3241" i="4"/>
  <c r="H3241" i="4"/>
  <c r="I3241" i="4" s="1"/>
  <c r="K3240" i="4"/>
  <c r="J3240" i="4"/>
  <c r="H3240" i="4"/>
  <c r="I3240" i="4" s="1"/>
  <c r="K3239" i="4"/>
  <c r="J3239" i="4"/>
  <c r="H3239" i="4"/>
  <c r="I3239" i="4" s="1"/>
  <c r="K3238" i="4"/>
  <c r="J3238" i="4"/>
  <c r="H3238" i="4"/>
  <c r="I3238" i="4" s="1"/>
  <c r="K3237" i="4"/>
  <c r="J3237" i="4"/>
  <c r="H3237" i="4"/>
  <c r="I3237" i="4" s="1"/>
  <c r="K3236" i="4"/>
  <c r="J3236" i="4"/>
  <c r="H3236" i="4"/>
  <c r="I3236" i="4" s="1"/>
  <c r="K3235" i="4"/>
  <c r="J3235" i="4"/>
  <c r="H3235" i="4"/>
  <c r="I3235" i="4" s="1"/>
  <c r="K3234" i="4"/>
  <c r="J3234" i="4"/>
  <c r="H3234" i="4"/>
  <c r="I3234" i="4" s="1"/>
  <c r="K3233" i="4"/>
  <c r="J3233" i="4"/>
  <c r="H3233" i="4"/>
  <c r="I3233" i="4" s="1"/>
  <c r="K3232" i="4"/>
  <c r="J3232" i="4"/>
  <c r="H3232" i="4"/>
  <c r="I3232" i="4" s="1"/>
  <c r="K3231" i="4"/>
  <c r="J3231" i="4"/>
  <c r="H3231" i="4"/>
  <c r="I3231" i="4" s="1"/>
  <c r="K3230" i="4"/>
  <c r="J3230" i="4"/>
  <c r="H3230" i="4"/>
  <c r="I3230" i="4" s="1"/>
  <c r="K3229" i="4"/>
  <c r="J3229" i="4"/>
  <c r="H3229" i="4"/>
  <c r="I3229" i="4" s="1"/>
  <c r="K3228" i="4"/>
  <c r="J3228" i="4"/>
  <c r="H3228" i="4"/>
  <c r="I3228" i="4" s="1"/>
  <c r="K3227" i="4"/>
  <c r="J3227" i="4"/>
  <c r="H3227" i="4"/>
  <c r="I3227" i="4" s="1"/>
  <c r="K3226" i="4"/>
  <c r="J3226" i="4"/>
  <c r="H3226" i="4"/>
  <c r="I3226" i="4" s="1"/>
  <c r="K3225" i="4"/>
  <c r="J3225" i="4"/>
  <c r="H3225" i="4"/>
  <c r="I3225" i="4" s="1"/>
  <c r="K3224" i="4"/>
  <c r="J3224" i="4"/>
  <c r="H3224" i="4"/>
  <c r="I3224" i="4" s="1"/>
  <c r="K3223" i="4"/>
  <c r="J3223" i="4"/>
  <c r="H3223" i="4"/>
  <c r="I3223" i="4" s="1"/>
  <c r="K3222" i="4"/>
  <c r="J3222" i="4"/>
  <c r="H3222" i="4"/>
  <c r="I3222" i="4" s="1"/>
  <c r="K3221" i="4"/>
  <c r="J3221" i="4"/>
  <c r="H3221" i="4"/>
  <c r="I3221" i="4" s="1"/>
  <c r="K3220" i="4"/>
  <c r="J3220" i="4"/>
  <c r="H3220" i="4"/>
  <c r="I3220" i="4" s="1"/>
  <c r="K3219" i="4"/>
  <c r="J3219" i="4"/>
  <c r="H3219" i="4"/>
  <c r="I3219" i="4" s="1"/>
  <c r="K3218" i="4"/>
  <c r="J3218" i="4"/>
  <c r="H3218" i="4"/>
  <c r="I3218" i="4" s="1"/>
  <c r="K3217" i="4"/>
  <c r="J3217" i="4"/>
  <c r="H3217" i="4"/>
  <c r="I3217" i="4" s="1"/>
  <c r="K3216" i="4"/>
  <c r="J3216" i="4"/>
  <c r="H3216" i="4"/>
  <c r="I3216" i="4" s="1"/>
  <c r="K3215" i="4"/>
  <c r="J3215" i="4"/>
  <c r="H3215" i="4"/>
  <c r="I3215" i="4" s="1"/>
  <c r="K3214" i="4"/>
  <c r="J3214" i="4"/>
  <c r="H3214" i="4"/>
  <c r="I3214" i="4" s="1"/>
  <c r="K3213" i="4"/>
  <c r="J3213" i="4"/>
  <c r="H3213" i="4"/>
  <c r="I3213" i="4" s="1"/>
  <c r="K3212" i="4"/>
  <c r="J3212" i="4"/>
  <c r="H3212" i="4"/>
  <c r="I3212" i="4" s="1"/>
  <c r="K3211" i="4"/>
  <c r="J3211" i="4"/>
  <c r="H3211" i="4"/>
  <c r="I3211" i="4" s="1"/>
  <c r="K3210" i="4"/>
  <c r="J3210" i="4"/>
  <c r="H3210" i="4"/>
  <c r="I3210" i="4" s="1"/>
  <c r="K3209" i="4"/>
  <c r="J3209" i="4"/>
  <c r="H3209" i="4"/>
  <c r="I3209" i="4" s="1"/>
  <c r="K3208" i="4"/>
  <c r="J3208" i="4"/>
  <c r="H3208" i="4"/>
  <c r="I3208" i="4" s="1"/>
  <c r="K3207" i="4"/>
  <c r="J3207" i="4"/>
  <c r="H3207" i="4"/>
  <c r="I3207" i="4" s="1"/>
  <c r="K3206" i="4"/>
  <c r="J3206" i="4"/>
  <c r="H3206" i="4"/>
  <c r="I3206" i="4" s="1"/>
  <c r="K3205" i="4"/>
  <c r="J3205" i="4"/>
  <c r="H3205" i="4"/>
  <c r="I3205" i="4" s="1"/>
  <c r="K3204" i="4"/>
  <c r="J3204" i="4"/>
  <c r="H3204" i="4"/>
  <c r="I3204" i="4" s="1"/>
  <c r="K3203" i="4"/>
  <c r="J3203" i="4"/>
  <c r="H3203" i="4"/>
  <c r="I3203" i="4" s="1"/>
  <c r="K3202" i="4"/>
  <c r="J3202" i="4"/>
  <c r="H3202" i="4"/>
  <c r="I3202" i="4" s="1"/>
  <c r="K3201" i="4"/>
  <c r="J3201" i="4"/>
  <c r="H3201" i="4"/>
  <c r="I3201" i="4" s="1"/>
  <c r="K3200" i="4"/>
  <c r="J3200" i="4"/>
  <c r="H3200" i="4"/>
  <c r="I3200" i="4" s="1"/>
  <c r="K3199" i="4"/>
  <c r="J3199" i="4"/>
  <c r="H3199" i="4"/>
  <c r="I3199" i="4" s="1"/>
  <c r="K3198" i="4"/>
  <c r="J3198" i="4"/>
  <c r="H3198" i="4"/>
  <c r="I3198" i="4" s="1"/>
  <c r="K3197" i="4"/>
  <c r="J3197" i="4"/>
  <c r="H3197" i="4"/>
  <c r="I3197" i="4" s="1"/>
  <c r="K3196" i="4"/>
  <c r="J3196" i="4"/>
  <c r="H3196" i="4"/>
  <c r="I3196" i="4" s="1"/>
  <c r="K3195" i="4"/>
  <c r="J3195" i="4"/>
  <c r="H3195" i="4"/>
  <c r="I3195" i="4" s="1"/>
  <c r="K3194" i="4"/>
  <c r="J3194" i="4"/>
  <c r="H3194" i="4"/>
  <c r="I3194" i="4" s="1"/>
  <c r="K3193" i="4"/>
  <c r="J3193" i="4"/>
  <c r="H3193" i="4"/>
  <c r="I3193" i="4" s="1"/>
  <c r="K3192" i="4"/>
  <c r="J3192" i="4"/>
  <c r="H3192" i="4"/>
  <c r="I3192" i="4" s="1"/>
  <c r="K3191" i="4"/>
  <c r="J3191" i="4"/>
  <c r="H3191" i="4"/>
  <c r="I3191" i="4" s="1"/>
  <c r="K3190" i="4"/>
  <c r="J3190" i="4"/>
  <c r="H3190" i="4"/>
  <c r="I3190" i="4" s="1"/>
  <c r="K3189" i="4"/>
  <c r="J3189" i="4"/>
  <c r="H3189" i="4"/>
  <c r="I3189" i="4" s="1"/>
  <c r="K3188" i="4"/>
  <c r="J3188" i="4"/>
  <c r="H3188" i="4"/>
  <c r="I3188" i="4" s="1"/>
  <c r="K3187" i="4"/>
  <c r="J3187" i="4"/>
  <c r="H3187" i="4"/>
  <c r="I3187" i="4" s="1"/>
  <c r="K3186" i="4"/>
  <c r="J3186" i="4"/>
  <c r="H3186" i="4"/>
  <c r="I3186" i="4" s="1"/>
  <c r="K3185" i="4"/>
  <c r="J3185" i="4"/>
  <c r="H3185" i="4"/>
  <c r="I3185" i="4" s="1"/>
  <c r="K3184" i="4"/>
  <c r="J3184" i="4"/>
  <c r="H3184" i="4"/>
  <c r="I3184" i="4" s="1"/>
  <c r="K3183" i="4"/>
  <c r="J3183" i="4"/>
  <c r="H3183" i="4"/>
  <c r="I3183" i="4" s="1"/>
  <c r="K3182" i="4"/>
  <c r="J3182" i="4"/>
  <c r="H3182" i="4"/>
  <c r="I3182" i="4" s="1"/>
  <c r="K3181" i="4"/>
  <c r="J3181" i="4"/>
  <c r="H3181" i="4"/>
  <c r="I3181" i="4" s="1"/>
  <c r="K3180" i="4"/>
  <c r="J3180" i="4"/>
  <c r="H3180" i="4"/>
  <c r="I3180" i="4" s="1"/>
  <c r="K3179" i="4"/>
  <c r="J3179" i="4"/>
  <c r="H3179" i="4"/>
  <c r="I3179" i="4" s="1"/>
  <c r="K3178" i="4"/>
  <c r="J3178" i="4"/>
  <c r="H3178" i="4"/>
  <c r="I3178" i="4" s="1"/>
  <c r="K3177" i="4"/>
  <c r="J3177" i="4"/>
  <c r="H3177" i="4"/>
  <c r="I3177" i="4" s="1"/>
  <c r="K3176" i="4"/>
  <c r="J3176" i="4"/>
  <c r="H3176" i="4"/>
  <c r="I3176" i="4" s="1"/>
  <c r="K3175" i="4"/>
  <c r="J3175" i="4"/>
  <c r="H3175" i="4"/>
  <c r="I3175" i="4" s="1"/>
  <c r="K3174" i="4"/>
  <c r="J3174" i="4"/>
  <c r="H3174" i="4"/>
  <c r="I3174" i="4" s="1"/>
  <c r="K3173" i="4"/>
  <c r="J3173" i="4"/>
  <c r="H3173" i="4"/>
  <c r="I3173" i="4" s="1"/>
  <c r="K3172" i="4"/>
  <c r="J3172" i="4"/>
  <c r="H3172" i="4"/>
  <c r="I3172" i="4" s="1"/>
  <c r="K3171" i="4"/>
  <c r="J3171" i="4"/>
  <c r="H3171" i="4"/>
  <c r="I3171" i="4" s="1"/>
  <c r="K3170" i="4"/>
  <c r="J3170" i="4"/>
  <c r="H3170" i="4"/>
  <c r="I3170" i="4" s="1"/>
  <c r="K3169" i="4"/>
  <c r="J3169" i="4"/>
  <c r="H3169" i="4"/>
  <c r="I3169" i="4" s="1"/>
  <c r="K3168" i="4"/>
  <c r="J3168" i="4"/>
  <c r="H3168" i="4"/>
  <c r="I3168" i="4" s="1"/>
  <c r="K3167" i="4"/>
  <c r="J3167" i="4"/>
  <c r="H3167" i="4"/>
  <c r="I3167" i="4" s="1"/>
  <c r="K3166" i="4"/>
  <c r="J3166" i="4"/>
  <c r="H3166" i="4"/>
  <c r="I3166" i="4" s="1"/>
  <c r="K3165" i="4"/>
  <c r="J3165" i="4"/>
  <c r="H3165" i="4"/>
  <c r="I3165" i="4" s="1"/>
  <c r="K3164" i="4"/>
  <c r="J3164" i="4"/>
  <c r="H3164" i="4"/>
  <c r="I3164" i="4" s="1"/>
  <c r="K3163" i="4"/>
  <c r="J3163" i="4"/>
  <c r="H3163" i="4"/>
  <c r="I3163" i="4" s="1"/>
  <c r="K3162" i="4"/>
  <c r="J3162" i="4"/>
  <c r="H3162" i="4"/>
  <c r="I3162" i="4" s="1"/>
  <c r="K3161" i="4"/>
  <c r="J3161" i="4"/>
  <c r="H3161" i="4"/>
  <c r="I3161" i="4" s="1"/>
  <c r="K3160" i="4"/>
  <c r="J3160" i="4"/>
  <c r="H3160" i="4"/>
  <c r="I3160" i="4" s="1"/>
  <c r="K3159" i="4"/>
  <c r="J3159" i="4"/>
  <c r="H3159" i="4"/>
  <c r="I3159" i="4" s="1"/>
  <c r="K3158" i="4"/>
  <c r="J3158" i="4"/>
  <c r="H3158" i="4"/>
  <c r="I3158" i="4" s="1"/>
  <c r="K3157" i="4"/>
  <c r="J3157" i="4"/>
  <c r="H3157" i="4"/>
  <c r="I3157" i="4" s="1"/>
  <c r="K3156" i="4"/>
  <c r="J3156" i="4"/>
  <c r="H3156" i="4"/>
  <c r="I3156" i="4" s="1"/>
  <c r="K3155" i="4"/>
  <c r="J3155" i="4"/>
  <c r="H3155" i="4"/>
  <c r="I3155" i="4" s="1"/>
  <c r="K3154" i="4"/>
  <c r="J3154" i="4"/>
  <c r="H3154" i="4"/>
  <c r="I3154" i="4" s="1"/>
  <c r="K3153" i="4"/>
  <c r="J3153" i="4"/>
  <c r="H3153" i="4"/>
  <c r="I3153" i="4" s="1"/>
  <c r="K3152" i="4"/>
  <c r="J3152" i="4"/>
  <c r="H3152" i="4"/>
  <c r="I3152" i="4" s="1"/>
  <c r="K3151" i="4"/>
  <c r="J3151" i="4"/>
  <c r="H3151" i="4"/>
  <c r="I3151" i="4" s="1"/>
  <c r="K3150" i="4"/>
  <c r="J3150" i="4"/>
  <c r="H3150" i="4"/>
  <c r="I3150" i="4" s="1"/>
  <c r="K3149" i="4"/>
  <c r="J3149" i="4"/>
  <c r="H3149" i="4"/>
  <c r="I3149" i="4" s="1"/>
  <c r="K3148" i="4"/>
  <c r="J3148" i="4"/>
  <c r="H3148" i="4"/>
  <c r="I3148" i="4" s="1"/>
  <c r="K3147" i="4"/>
  <c r="J3147" i="4"/>
  <c r="H3147" i="4"/>
  <c r="I3147" i="4" s="1"/>
  <c r="K3146" i="4"/>
  <c r="J3146" i="4"/>
  <c r="H3146" i="4"/>
  <c r="I3146" i="4" s="1"/>
  <c r="K3145" i="4"/>
  <c r="J3145" i="4"/>
  <c r="H3145" i="4"/>
  <c r="I3145" i="4" s="1"/>
  <c r="K3144" i="4"/>
  <c r="J3144" i="4"/>
  <c r="H3144" i="4"/>
  <c r="I3144" i="4" s="1"/>
  <c r="K3143" i="4"/>
  <c r="J3143" i="4"/>
  <c r="H3143" i="4"/>
  <c r="I3143" i="4" s="1"/>
  <c r="K3142" i="4"/>
  <c r="J3142" i="4"/>
  <c r="H3142" i="4"/>
  <c r="I3142" i="4" s="1"/>
  <c r="K3141" i="4"/>
  <c r="J3141" i="4"/>
  <c r="H3141" i="4"/>
  <c r="I3141" i="4" s="1"/>
  <c r="K3140" i="4"/>
  <c r="J3140" i="4"/>
  <c r="H3140" i="4"/>
  <c r="I3140" i="4" s="1"/>
  <c r="K3139" i="4"/>
  <c r="J3139" i="4"/>
  <c r="H3139" i="4"/>
  <c r="I3139" i="4" s="1"/>
  <c r="K3138" i="4"/>
  <c r="J3138" i="4"/>
  <c r="H3138" i="4"/>
  <c r="I3138" i="4" s="1"/>
  <c r="K3137" i="4"/>
  <c r="J3137" i="4"/>
  <c r="H3137" i="4"/>
  <c r="I3137" i="4" s="1"/>
  <c r="K3136" i="4"/>
  <c r="J3136" i="4"/>
  <c r="H3136" i="4"/>
  <c r="I3136" i="4" s="1"/>
  <c r="K3135" i="4"/>
  <c r="J3135" i="4"/>
  <c r="H3135" i="4"/>
  <c r="I3135" i="4" s="1"/>
  <c r="K3134" i="4"/>
  <c r="J3134" i="4"/>
  <c r="H3134" i="4"/>
  <c r="I3134" i="4" s="1"/>
  <c r="K3133" i="4"/>
  <c r="J3133" i="4"/>
  <c r="H3133" i="4"/>
  <c r="I3133" i="4" s="1"/>
  <c r="K3132" i="4"/>
  <c r="J3132" i="4"/>
  <c r="H3132" i="4"/>
  <c r="I3132" i="4" s="1"/>
  <c r="K3131" i="4"/>
  <c r="J3131" i="4"/>
  <c r="H3131" i="4"/>
  <c r="I3131" i="4" s="1"/>
  <c r="K3130" i="4"/>
  <c r="J3130" i="4"/>
  <c r="H3130" i="4"/>
  <c r="I3130" i="4" s="1"/>
  <c r="K3129" i="4"/>
  <c r="J3129" i="4"/>
  <c r="H3129" i="4"/>
  <c r="I3129" i="4" s="1"/>
  <c r="K3128" i="4"/>
  <c r="J3128" i="4"/>
  <c r="H3128" i="4"/>
  <c r="I3128" i="4" s="1"/>
  <c r="K3127" i="4"/>
  <c r="J3127" i="4"/>
  <c r="H3127" i="4"/>
  <c r="I3127" i="4" s="1"/>
  <c r="K3126" i="4"/>
  <c r="J3126" i="4"/>
  <c r="H3126" i="4"/>
  <c r="I3126" i="4" s="1"/>
  <c r="K3125" i="4"/>
  <c r="J3125" i="4"/>
  <c r="H3125" i="4"/>
  <c r="I3125" i="4" s="1"/>
  <c r="K3124" i="4"/>
  <c r="J3124" i="4"/>
  <c r="H3124" i="4"/>
  <c r="I3124" i="4" s="1"/>
  <c r="K3123" i="4"/>
  <c r="J3123" i="4"/>
  <c r="H3123" i="4"/>
  <c r="I3123" i="4" s="1"/>
  <c r="K3122" i="4"/>
  <c r="J3122" i="4"/>
  <c r="H3122" i="4"/>
  <c r="I3122" i="4" s="1"/>
  <c r="K3121" i="4"/>
  <c r="J3121" i="4"/>
  <c r="H3121" i="4"/>
  <c r="I3121" i="4" s="1"/>
  <c r="K3120" i="4"/>
  <c r="J3120" i="4"/>
  <c r="H3120" i="4"/>
  <c r="I3120" i="4" s="1"/>
  <c r="K3119" i="4"/>
  <c r="J3119" i="4"/>
  <c r="H3119" i="4"/>
  <c r="I3119" i="4" s="1"/>
  <c r="K3118" i="4"/>
  <c r="J3118" i="4"/>
  <c r="H3118" i="4"/>
  <c r="I3118" i="4" s="1"/>
  <c r="K3117" i="4"/>
  <c r="J3117" i="4"/>
  <c r="H3117" i="4"/>
  <c r="I3117" i="4" s="1"/>
  <c r="K3116" i="4"/>
  <c r="J3116" i="4"/>
  <c r="H3116" i="4"/>
  <c r="I3116" i="4" s="1"/>
  <c r="K3115" i="4"/>
  <c r="J3115" i="4"/>
  <c r="H3115" i="4"/>
  <c r="I3115" i="4" s="1"/>
  <c r="K3114" i="4"/>
  <c r="J3114" i="4"/>
  <c r="H3114" i="4"/>
  <c r="I3114" i="4" s="1"/>
  <c r="K3113" i="4"/>
  <c r="J3113" i="4"/>
  <c r="H3113" i="4"/>
  <c r="I3113" i="4" s="1"/>
  <c r="K3112" i="4"/>
  <c r="J3112" i="4"/>
  <c r="H3112" i="4"/>
  <c r="I3112" i="4" s="1"/>
  <c r="K3111" i="4"/>
  <c r="J3111" i="4"/>
  <c r="H3111" i="4"/>
  <c r="I3111" i="4" s="1"/>
  <c r="K3110" i="4"/>
  <c r="J3110" i="4"/>
  <c r="H3110" i="4"/>
  <c r="I3110" i="4" s="1"/>
  <c r="K3109" i="4"/>
  <c r="J3109" i="4"/>
  <c r="H3109" i="4"/>
  <c r="I3109" i="4" s="1"/>
  <c r="K3108" i="4"/>
  <c r="J3108" i="4"/>
  <c r="H3108" i="4"/>
  <c r="I3108" i="4" s="1"/>
  <c r="K3107" i="4"/>
  <c r="J3107" i="4"/>
  <c r="H3107" i="4"/>
  <c r="I3107" i="4" s="1"/>
  <c r="K3106" i="4"/>
  <c r="J3106" i="4"/>
  <c r="H3106" i="4"/>
  <c r="I3106" i="4" s="1"/>
  <c r="K3105" i="4"/>
  <c r="J3105" i="4"/>
  <c r="H3105" i="4"/>
  <c r="I3105" i="4" s="1"/>
  <c r="K3104" i="4"/>
  <c r="J3104" i="4"/>
  <c r="H3104" i="4"/>
  <c r="I3104" i="4" s="1"/>
  <c r="K3103" i="4"/>
  <c r="J3103" i="4"/>
  <c r="H3103" i="4"/>
  <c r="I3103" i="4" s="1"/>
  <c r="K3102" i="4"/>
  <c r="J3102" i="4"/>
  <c r="H3102" i="4"/>
  <c r="I3102" i="4" s="1"/>
  <c r="K3101" i="4"/>
  <c r="J3101" i="4"/>
  <c r="H3101" i="4"/>
  <c r="I3101" i="4" s="1"/>
  <c r="K3100" i="4"/>
  <c r="J3100" i="4"/>
  <c r="H3100" i="4"/>
  <c r="I3100" i="4" s="1"/>
  <c r="K3099" i="4"/>
  <c r="J3099" i="4"/>
  <c r="H3099" i="4"/>
  <c r="I3099" i="4" s="1"/>
  <c r="K3098" i="4"/>
  <c r="J3098" i="4"/>
  <c r="H3098" i="4"/>
  <c r="I3098" i="4" s="1"/>
  <c r="K3097" i="4"/>
  <c r="J3097" i="4"/>
  <c r="H3097" i="4"/>
  <c r="I3097" i="4" s="1"/>
  <c r="K3096" i="4"/>
  <c r="J3096" i="4"/>
  <c r="H3096" i="4"/>
  <c r="I3096" i="4" s="1"/>
  <c r="K3095" i="4"/>
  <c r="J3095" i="4"/>
  <c r="H3095" i="4"/>
  <c r="I3095" i="4" s="1"/>
  <c r="K3094" i="4"/>
  <c r="J3094" i="4"/>
  <c r="H3094" i="4"/>
  <c r="I3094" i="4" s="1"/>
  <c r="K3093" i="4"/>
  <c r="J3093" i="4"/>
  <c r="H3093" i="4"/>
  <c r="I3093" i="4" s="1"/>
  <c r="K3092" i="4"/>
  <c r="J3092" i="4"/>
  <c r="H3092" i="4"/>
  <c r="I3092" i="4" s="1"/>
  <c r="K3091" i="4"/>
  <c r="J3091" i="4"/>
  <c r="H3091" i="4"/>
  <c r="I3091" i="4" s="1"/>
  <c r="K3090" i="4"/>
  <c r="J3090" i="4"/>
  <c r="H3090" i="4"/>
  <c r="I3090" i="4" s="1"/>
  <c r="K3089" i="4"/>
  <c r="J3089" i="4"/>
  <c r="H3089" i="4"/>
  <c r="I3089" i="4" s="1"/>
  <c r="K3088" i="4"/>
  <c r="J3088" i="4"/>
  <c r="H3088" i="4"/>
  <c r="I3088" i="4" s="1"/>
  <c r="K3087" i="4"/>
  <c r="J3087" i="4"/>
  <c r="H3087" i="4"/>
  <c r="I3087" i="4" s="1"/>
  <c r="K3086" i="4"/>
  <c r="J3086" i="4"/>
  <c r="H3086" i="4"/>
  <c r="I3086" i="4" s="1"/>
  <c r="K3085" i="4"/>
  <c r="J3085" i="4"/>
  <c r="H3085" i="4"/>
  <c r="I3085" i="4" s="1"/>
  <c r="K3084" i="4"/>
  <c r="J3084" i="4"/>
  <c r="H3084" i="4"/>
  <c r="I3084" i="4" s="1"/>
  <c r="K3083" i="4"/>
  <c r="J3083" i="4"/>
  <c r="H3083" i="4"/>
  <c r="I3083" i="4" s="1"/>
  <c r="K3082" i="4"/>
  <c r="J3082" i="4"/>
  <c r="H3082" i="4"/>
  <c r="I3082" i="4" s="1"/>
  <c r="K3081" i="4"/>
  <c r="J3081" i="4"/>
  <c r="H3081" i="4"/>
  <c r="I3081" i="4" s="1"/>
  <c r="K3080" i="4"/>
  <c r="J3080" i="4"/>
  <c r="H3080" i="4"/>
  <c r="I3080" i="4" s="1"/>
  <c r="K3079" i="4"/>
  <c r="J3079" i="4"/>
  <c r="H3079" i="4"/>
  <c r="I3079" i="4" s="1"/>
  <c r="K3078" i="4"/>
  <c r="J3078" i="4"/>
  <c r="H3078" i="4"/>
  <c r="I3078" i="4" s="1"/>
  <c r="K3077" i="4"/>
  <c r="J3077" i="4"/>
  <c r="H3077" i="4"/>
  <c r="I3077" i="4" s="1"/>
  <c r="K3076" i="4"/>
  <c r="J3076" i="4"/>
  <c r="H3076" i="4"/>
  <c r="I3076" i="4" s="1"/>
  <c r="K3075" i="4"/>
  <c r="J3075" i="4"/>
  <c r="H3075" i="4"/>
  <c r="I3075" i="4" s="1"/>
  <c r="K3074" i="4"/>
  <c r="J3074" i="4"/>
  <c r="H3074" i="4"/>
  <c r="I3074" i="4" s="1"/>
  <c r="K3073" i="4"/>
  <c r="J3073" i="4"/>
  <c r="H3073" i="4"/>
  <c r="I3073" i="4" s="1"/>
  <c r="K3072" i="4"/>
  <c r="J3072" i="4"/>
  <c r="H3072" i="4"/>
  <c r="I3072" i="4" s="1"/>
  <c r="K3071" i="4"/>
  <c r="J3071" i="4"/>
  <c r="H3071" i="4"/>
  <c r="I3071" i="4" s="1"/>
  <c r="K3070" i="4"/>
  <c r="J3070" i="4"/>
  <c r="H3070" i="4"/>
  <c r="I3070" i="4" s="1"/>
  <c r="K3069" i="4"/>
  <c r="J3069" i="4"/>
  <c r="H3069" i="4"/>
  <c r="I3069" i="4" s="1"/>
  <c r="K3068" i="4"/>
  <c r="J3068" i="4"/>
  <c r="H3068" i="4"/>
  <c r="I3068" i="4" s="1"/>
  <c r="K3067" i="4"/>
  <c r="J3067" i="4"/>
  <c r="H3067" i="4"/>
  <c r="I3067" i="4" s="1"/>
  <c r="K3066" i="4"/>
  <c r="J3066" i="4"/>
  <c r="H3066" i="4"/>
  <c r="I3066" i="4" s="1"/>
  <c r="K3065" i="4"/>
  <c r="J3065" i="4"/>
  <c r="H3065" i="4"/>
  <c r="I3065" i="4" s="1"/>
  <c r="K3064" i="4"/>
  <c r="J3064" i="4"/>
  <c r="H3064" i="4"/>
  <c r="I3064" i="4" s="1"/>
  <c r="K3063" i="4"/>
  <c r="J3063" i="4"/>
  <c r="H3063" i="4"/>
  <c r="I3063" i="4" s="1"/>
  <c r="K3062" i="4"/>
  <c r="J3062" i="4"/>
  <c r="H3062" i="4"/>
  <c r="I3062" i="4" s="1"/>
  <c r="K3061" i="4"/>
  <c r="J3061" i="4"/>
  <c r="H3061" i="4"/>
  <c r="I3061" i="4" s="1"/>
  <c r="K3060" i="4"/>
  <c r="J3060" i="4"/>
  <c r="H3060" i="4"/>
  <c r="I3060" i="4" s="1"/>
  <c r="K3059" i="4"/>
  <c r="J3059" i="4"/>
  <c r="H3059" i="4"/>
  <c r="I3059" i="4" s="1"/>
  <c r="K3058" i="4"/>
  <c r="J3058" i="4"/>
  <c r="H3058" i="4"/>
  <c r="I3058" i="4" s="1"/>
  <c r="K3057" i="4"/>
  <c r="J3057" i="4"/>
  <c r="H3057" i="4"/>
  <c r="I3057" i="4" s="1"/>
  <c r="K3056" i="4"/>
  <c r="J3056" i="4"/>
  <c r="H3056" i="4"/>
  <c r="I3056" i="4" s="1"/>
  <c r="K3055" i="4"/>
  <c r="J3055" i="4"/>
  <c r="H3055" i="4"/>
  <c r="I3055" i="4" s="1"/>
  <c r="K3054" i="4"/>
  <c r="J3054" i="4"/>
  <c r="H3054" i="4"/>
  <c r="I3054" i="4" s="1"/>
  <c r="K3053" i="4"/>
  <c r="J3053" i="4"/>
  <c r="H3053" i="4"/>
  <c r="I3053" i="4" s="1"/>
  <c r="K3052" i="4"/>
  <c r="J3052" i="4"/>
  <c r="H3052" i="4"/>
  <c r="I3052" i="4" s="1"/>
  <c r="K3051" i="4"/>
  <c r="J3051" i="4"/>
  <c r="H3051" i="4"/>
  <c r="I3051" i="4" s="1"/>
  <c r="K3050" i="4"/>
  <c r="J3050" i="4"/>
  <c r="H3050" i="4"/>
  <c r="I3050" i="4" s="1"/>
  <c r="K3049" i="4"/>
  <c r="J3049" i="4"/>
  <c r="H3049" i="4"/>
  <c r="I3049" i="4" s="1"/>
  <c r="K3048" i="4"/>
  <c r="J3048" i="4"/>
  <c r="H3048" i="4"/>
  <c r="I3048" i="4" s="1"/>
  <c r="K3047" i="4"/>
  <c r="J3047" i="4"/>
  <c r="H3047" i="4"/>
  <c r="I3047" i="4" s="1"/>
  <c r="K3046" i="4"/>
  <c r="J3046" i="4"/>
  <c r="H3046" i="4"/>
  <c r="I3046" i="4" s="1"/>
  <c r="K3045" i="4"/>
  <c r="J3045" i="4"/>
  <c r="H3045" i="4"/>
  <c r="I3045" i="4" s="1"/>
  <c r="K3044" i="4"/>
  <c r="J3044" i="4"/>
  <c r="H3044" i="4"/>
  <c r="I3044" i="4" s="1"/>
  <c r="K3043" i="4"/>
  <c r="J3043" i="4"/>
  <c r="H3043" i="4"/>
  <c r="I3043" i="4" s="1"/>
  <c r="K3042" i="4"/>
  <c r="J3042" i="4"/>
  <c r="H3042" i="4"/>
  <c r="I3042" i="4" s="1"/>
  <c r="K3041" i="4"/>
  <c r="J3041" i="4"/>
  <c r="H3041" i="4"/>
  <c r="I3041" i="4" s="1"/>
  <c r="K3040" i="4"/>
  <c r="J3040" i="4"/>
  <c r="H3040" i="4"/>
  <c r="I3040" i="4" s="1"/>
  <c r="K3039" i="4"/>
  <c r="J3039" i="4"/>
  <c r="H3039" i="4"/>
  <c r="I3039" i="4" s="1"/>
  <c r="K3038" i="4"/>
  <c r="J3038" i="4"/>
  <c r="H3038" i="4"/>
  <c r="I3038" i="4" s="1"/>
  <c r="K3037" i="4"/>
  <c r="J3037" i="4"/>
  <c r="H3037" i="4"/>
  <c r="I3037" i="4" s="1"/>
  <c r="K3036" i="4"/>
  <c r="J3036" i="4"/>
  <c r="H3036" i="4"/>
  <c r="I3036" i="4" s="1"/>
  <c r="K3035" i="4"/>
  <c r="J3035" i="4"/>
  <c r="H3035" i="4"/>
  <c r="I3035" i="4" s="1"/>
  <c r="K3034" i="4"/>
  <c r="J3034" i="4"/>
  <c r="H3034" i="4"/>
  <c r="I3034" i="4" s="1"/>
  <c r="K3033" i="4"/>
  <c r="J3033" i="4"/>
  <c r="H3033" i="4"/>
  <c r="I3033" i="4" s="1"/>
  <c r="K3032" i="4"/>
  <c r="J3032" i="4"/>
  <c r="H3032" i="4"/>
  <c r="I3032" i="4" s="1"/>
  <c r="K3031" i="4"/>
  <c r="J3031" i="4"/>
  <c r="H3031" i="4"/>
  <c r="I3031" i="4" s="1"/>
  <c r="K3030" i="4"/>
  <c r="J3030" i="4"/>
  <c r="H3030" i="4"/>
  <c r="I3030" i="4" s="1"/>
  <c r="K3029" i="4"/>
  <c r="J3029" i="4"/>
  <c r="H3029" i="4"/>
  <c r="I3029" i="4" s="1"/>
  <c r="K3028" i="4"/>
  <c r="J3028" i="4"/>
  <c r="H3028" i="4"/>
  <c r="I3028" i="4" s="1"/>
  <c r="K3027" i="4"/>
  <c r="J3027" i="4"/>
  <c r="H3027" i="4"/>
  <c r="I3027" i="4" s="1"/>
  <c r="K3026" i="4"/>
  <c r="J3026" i="4"/>
  <c r="H3026" i="4"/>
  <c r="I3026" i="4" s="1"/>
  <c r="K3025" i="4"/>
  <c r="J3025" i="4"/>
  <c r="H3025" i="4"/>
  <c r="I3025" i="4" s="1"/>
  <c r="K3024" i="4"/>
  <c r="J3024" i="4"/>
  <c r="H3024" i="4"/>
  <c r="I3024" i="4" s="1"/>
  <c r="K3023" i="4"/>
  <c r="J3023" i="4"/>
  <c r="H3023" i="4"/>
  <c r="I3023" i="4" s="1"/>
  <c r="K3022" i="4"/>
  <c r="J3022" i="4"/>
  <c r="H3022" i="4"/>
  <c r="I3022" i="4" s="1"/>
  <c r="K3021" i="4"/>
  <c r="J3021" i="4"/>
  <c r="H3021" i="4"/>
  <c r="I3021" i="4" s="1"/>
  <c r="K3020" i="4"/>
  <c r="J3020" i="4"/>
  <c r="H3020" i="4"/>
  <c r="I3020" i="4" s="1"/>
  <c r="K3019" i="4"/>
  <c r="J3019" i="4"/>
  <c r="H3019" i="4"/>
  <c r="I3019" i="4" s="1"/>
  <c r="K3018" i="4"/>
  <c r="J3018" i="4"/>
  <c r="H3018" i="4"/>
  <c r="I3018" i="4" s="1"/>
  <c r="K3017" i="4"/>
  <c r="J3017" i="4"/>
  <c r="H3017" i="4"/>
  <c r="I3017" i="4" s="1"/>
  <c r="K3016" i="4"/>
  <c r="J3016" i="4"/>
  <c r="H3016" i="4"/>
  <c r="I3016" i="4" s="1"/>
  <c r="K3015" i="4"/>
  <c r="J3015" i="4"/>
  <c r="H3015" i="4"/>
  <c r="I3015" i="4" s="1"/>
  <c r="K3014" i="4"/>
  <c r="J3014" i="4"/>
  <c r="H3014" i="4"/>
  <c r="I3014" i="4" s="1"/>
  <c r="K3013" i="4"/>
  <c r="J3013" i="4"/>
  <c r="H3013" i="4"/>
  <c r="I3013" i="4" s="1"/>
  <c r="K3012" i="4"/>
  <c r="J3012" i="4"/>
  <c r="H3012" i="4"/>
  <c r="I3012" i="4" s="1"/>
  <c r="K3011" i="4"/>
  <c r="J3011" i="4"/>
  <c r="H3011" i="4"/>
  <c r="I3011" i="4" s="1"/>
  <c r="K3010" i="4"/>
  <c r="J3010" i="4"/>
  <c r="H3010" i="4"/>
  <c r="I3010" i="4" s="1"/>
  <c r="K3009" i="4"/>
  <c r="J3009" i="4"/>
  <c r="H3009" i="4"/>
  <c r="I3009" i="4" s="1"/>
  <c r="K3008" i="4"/>
  <c r="J3008" i="4"/>
  <c r="H3008" i="4"/>
  <c r="I3008" i="4" s="1"/>
  <c r="K3007" i="4"/>
  <c r="J3007" i="4"/>
  <c r="H3007" i="4"/>
  <c r="I3007" i="4" s="1"/>
  <c r="K3006" i="4"/>
  <c r="J3006" i="4"/>
  <c r="H3006" i="4"/>
  <c r="I3006" i="4" s="1"/>
  <c r="K3005" i="4"/>
  <c r="J3005" i="4"/>
  <c r="H3005" i="4"/>
  <c r="I3005" i="4" s="1"/>
  <c r="K3004" i="4"/>
  <c r="J3004" i="4"/>
  <c r="H3004" i="4"/>
  <c r="I3004" i="4" s="1"/>
  <c r="K3003" i="4"/>
  <c r="J3003" i="4"/>
  <c r="H3003" i="4"/>
  <c r="I3003" i="4" s="1"/>
  <c r="K3002" i="4"/>
  <c r="J3002" i="4"/>
  <c r="H3002" i="4"/>
  <c r="I3002" i="4" s="1"/>
  <c r="K3001" i="4"/>
  <c r="J3001" i="4"/>
  <c r="H3001" i="4"/>
  <c r="I3001" i="4" s="1"/>
  <c r="K3000" i="4"/>
  <c r="J3000" i="4"/>
  <c r="H3000" i="4"/>
  <c r="I3000" i="4" s="1"/>
  <c r="K2999" i="4"/>
  <c r="J2999" i="4"/>
  <c r="H2999" i="4"/>
  <c r="I2999" i="4" s="1"/>
  <c r="K2998" i="4"/>
  <c r="J2998" i="4"/>
  <c r="H2998" i="4"/>
  <c r="I2998" i="4" s="1"/>
  <c r="K2997" i="4"/>
  <c r="J2997" i="4"/>
  <c r="H2997" i="4"/>
  <c r="I2997" i="4" s="1"/>
  <c r="K2996" i="4"/>
  <c r="J2996" i="4"/>
  <c r="H2996" i="4"/>
  <c r="I2996" i="4" s="1"/>
  <c r="K2995" i="4"/>
  <c r="J2995" i="4"/>
  <c r="H2995" i="4"/>
  <c r="I2995" i="4" s="1"/>
  <c r="K2994" i="4"/>
  <c r="J2994" i="4"/>
  <c r="H2994" i="4"/>
  <c r="I2994" i="4" s="1"/>
  <c r="K2993" i="4"/>
  <c r="J2993" i="4"/>
  <c r="H2993" i="4"/>
  <c r="I2993" i="4" s="1"/>
  <c r="K2992" i="4"/>
  <c r="J2992" i="4"/>
  <c r="H2992" i="4"/>
  <c r="I2992" i="4" s="1"/>
  <c r="K2991" i="4"/>
  <c r="J2991" i="4"/>
  <c r="H2991" i="4"/>
  <c r="I2991" i="4" s="1"/>
  <c r="K2990" i="4"/>
  <c r="J2990" i="4"/>
  <c r="H2990" i="4"/>
  <c r="I2990" i="4" s="1"/>
  <c r="K2989" i="4"/>
  <c r="J2989" i="4"/>
  <c r="H2989" i="4"/>
  <c r="I2989" i="4" s="1"/>
  <c r="K2988" i="4"/>
  <c r="J2988" i="4"/>
  <c r="H2988" i="4"/>
  <c r="I2988" i="4" s="1"/>
  <c r="K2987" i="4"/>
  <c r="J2987" i="4"/>
  <c r="H2987" i="4"/>
  <c r="I2987" i="4" s="1"/>
  <c r="K2986" i="4"/>
  <c r="J2986" i="4"/>
  <c r="H2986" i="4"/>
  <c r="I2986" i="4" s="1"/>
  <c r="K2985" i="4"/>
  <c r="J2985" i="4"/>
  <c r="H2985" i="4"/>
  <c r="I2985" i="4" s="1"/>
  <c r="K2984" i="4"/>
  <c r="J2984" i="4"/>
  <c r="H2984" i="4"/>
  <c r="I2984" i="4" s="1"/>
  <c r="K2983" i="4"/>
  <c r="J2983" i="4"/>
  <c r="H2983" i="4"/>
  <c r="I2983" i="4" s="1"/>
  <c r="K2982" i="4"/>
  <c r="J2982" i="4"/>
  <c r="H2982" i="4"/>
  <c r="I2982" i="4" s="1"/>
  <c r="K2981" i="4"/>
  <c r="J2981" i="4"/>
  <c r="H2981" i="4"/>
  <c r="I2981" i="4" s="1"/>
  <c r="K2980" i="4"/>
  <c r="J2980" i="4"/>
  <c r="H2980" i="4"/>
  <c r="I2980" i="4" s="1"/>
  <c r="K2979" i="4"/>
  <c r="J2979" i="4"/>
  <c r="H2979" i="4"/>
  <c r="I2979" i="4" s="1"/>
  <c r="K2978" i="4"/>
  <c r="J2978" i="4"/>
  <c r="H2978" i="4"/>
  <c r="I2978" i="4" s="1"/>
  <c r="K2977" i="4"/>
  <c r="J2977" i="4"/>
  <c r="H2977" i="4"/>
  <c r="I2977" i="4" s="1"/>
  <c r="K2976" i="4"/>
  <c r="J2976" i="4"/>
  <c r="H2976" i="4"/>
  <c r="I2976" i="4" s="1"/>
  <c r="K2975" i="4"/>
  <c r="J2975" i="4"/>
  <c r="H2975" i="4"/>
  <c r="I2975" i="4" s="1"/>
  <c r="K2974" i="4"/>
  <c r="J2974" i="4"/>
  <c r="H2974" i="4"/>
  <c r="I2974" i="4" s="1"/>
  <c r="K2973" i="4"/>
  <c r="J2973" i="4"/>
  <c r="H2973" i="4"/>
  <c r="I2973" i="4" s="1"/>
  <c r="K2972" i="4"/>
  <c r="J2972" i="4"/>
  <c r="H2972" i="4"/>
  <c r="I2972" i="4" s="1"/>
  <c r="K2971" i="4"/>
  <c r="J2971" i="4"/>
  <c r="H2971" i="4"/>
  <c r="I2971" i="4" s="1"/>
  <c r="K2970" i="4"/>
  <c r="J2970" i="4"/>
  <c r="H2970" i="4"/>
  <c r="I2970" i="4" s="1"/>
  <c r="K2969" i="4"/>
  <c r="J2969" i="4"/>
  <c r="H2969" i="4"/>
  <c r="I2969" i="4" s="1"/>
  <c r="K2968" i="4"/>
  <c r="J2968" i="4"/>
  <c r="H2968" i="4"/>
  <c r="I2968" i="4" s="1"/>
  <c r="K2967" i="4"/>
  <c r="J2967" i="4"/>
  <c r="H2967" i="4"/>
  <c r="I2967" i="4" s="1"/>
  <c r="K2966" i="4"/>
  <c r="J2966" i="4"/>
  <c r="H2966" i="4"/>
  <c r="I2966" i="4" s="1"/>
  <c r="K2965" i="4"/>
  <c r="J2965" i="4"/>
  <c r="H2965" i="4"/>
  <c r="I2965" i="4" s="1"/>
  <c r="K2964" i="4"/>
  <c r="J2964" i="4"/>
  <c r="H2964" i="4"/>
  <c r="I2964" i="4" s="1"/>
  <c r="K2963" i="4"/>
  <c r="J2963" i="4"/>
  <c r="H2963" i="4"/>
  <c r="I2963" i="4" s="1"/>
  <c r="K2962" i="4"/>
  <c r="J2962" i="4"/>
  <c r="H2962" i="4"/>
  <c r="I2962" i="4" s="1"/>
  <c r="K2961" i="4"/>
  <c r="J2961" i="4"/>
  <c r="H2961" i="4"/>
  <c r="I2961" i="4" s="1"/>
  <c r="K2960" i="4"/>
  <c r="J2960" i="4"/>
  <c r="H2960" i="4"/>
  <c r="I2960" i="4" s="1"/>
  <c r="K2959" i="4"/>
  <c r="J2959" i="4"/>
  <c r="H2959" i="4"/>
  <c r="I2959" i="4" s="1"/>
  <c r="K2958" i="4"/>
  <c r="J2958" i="4"/>
  <c r="H2958" i="4"/>
  <c r="I2958" i="4" s="1"/>
  <c r="K2957" i="4"/>
  <c r="J2957" i="4"/>
  <c r="H2957" i="4"/>
  <c r="I2957" i="4" s="1"/>
  <c r="K2956" i="4"/>
  <c r="J2956" i="4"/>
  <c r="H2956" i="4"/>
  <c r="I2956" i="4" s="1"/>
  <c r="K2955" i="4"/>
  <c r="J2955" i="4"/>
  <c r="H2955" i="4"/>
  <c r="I2955" i="4" s="1"/>
  <c r="K2954" i="4"/>
  <c r="J2954" i="4"/>
  <c r="H2954" i="4"/>
  <c r="I2954" i="4" s="1"/>
  <c r="K2953" i="4"/>
  <c r="J2953" i="4"/>
  <c r="H2953" i="4"/>
  <c r="I2953" i="4" s="1"/>
  <c r="K2952" i="4"/>
  <c r="J2952" i="4"/>
  <c r="H2952" i="4"/>
  <c r="I2952" i="4" s="1"/>
  <c r="K2951" i="4"/>
  <c r="J2951" i="4"/>
  <c r="H2951" i="4"/>
  <c r="I2951" i="4" s="1"/>
  <c r="K2950" i="4"/>
  <c r="J2950" i="4"/>
  <c r="H2950" i="4"/>
  <c r="I2950" i="4" s="1"/>
  <c r="K2949" i="4"/>
  <c r="J2949" i="4"/>
  <c r="H2949" i="4"/>
  <c r="I2949" i="4" s="1"/>
  <c r="K2948" i="4"/>
  <c r="J2948" i="4"/>
  <c r="H2948" i="4"/>
  <c r="I2948" i="4" s="1"/>
  <c r="K2947" i="4"/>
  <c r="J2947" i="4"/>
  <c r="H2947" i="4"/>
  <c r="I2947" i="4" s="1"/>
  <c r="K2946" i="4"/>
  <c r="J2946" i="4"/>
  <c r="H2946" i="4"/>
  <c r="I2946" i="4" s="1"/>
  <c r="K2945" i="4"/>
  <c r="J2945" i="4"/>
  <c r="H2945" i="4"/>
  <c r="I2945" i="4" s="1"/>
  <c r="K2944" i="4"/>
  <c r="J2944" i="4"/>
  <c r="H2944" i="4"/>
  <c r="I2944" i="4" s="1"/>
  <c r="K2943" i="4"/>
  <c r="J2943" i="4"/>
  <c r="H2943" i="4"/>
  <c r="I2943" i="4" s="1"/>
  <c r="K2942" i="4"/>
  <c r="J2942" i="4"/>
  <c r="H2942" i="4"/>
  <c r="I2942" i="4" s="1"/>
  <c r="K2941" i="4"/>
  <c r="J2941" i="4"/>
  <c r="H2941" i="4"/>
  <c r="I2941" i="4" s="1"/>
  <c r="K2940" i="4"/>
  <c r="J2940" i="4"/>
  <c r="H2940" i="4"/>
  <c r="I2940" i="4" s="1"/>
  <c r="K2939" i="4"/>
  <c r="J2939" i="4"/>
  <c r="H2939" i="4"/>
  <c r="I2939" i="4" s="1"/>
  <c r="K2938" i="4"/>
  <c r="J2938" i="4"/>
  <c r="H2938" i="4"/>
  <c r="I2938" i="4" s="1"/>
  <c r="K2937" i="4"/>
  <c r="J2937" i="4"/>
  <c r="H2937" i="4"/>
  <c r="I2937" i="4" s="1"/>
  <c r="K2936" i="4"/>
  <c r="J2936" i="4"/>
  <c r="H2936" i="4"/>
  <c r="I2936" i="4" s="1"/>
  <c r="K2935" i="4"/>
  <c r="J2935" i="4"/>
  <c r="H2935" i="4"/>
  <c r="I2935" i="4" s="1"/>
  <c r="K2934" i="4"/>
  <c r="J2934" i="4"/>
  <c r="H2934" i="4"/>
  <c r="I2934" i="4" s="1"/>
  <c r="K2933" i="4"/>
  <c r="J2933" i="4"/>
  <c r="H2933" i="4"/>
  <c r="I2933" i="4" s="1"/>
  <c r="K2932" i="4"/>
  <c r="J2932" i="4"/>
  <c r="H2932" i="4"/>
  <c r="I2932" i="4" s="1"/>
  <c r="K2931" i="4"/>
  <c r="J2931" i="4"/>
  <c r="H2931" i="4"/>
  <c r="I2931" i="4" s="1"/>
  <c r="K2930" i="4"/>
  <c r="J2930" i="4"/>
  <c r="H2930" i="4"/>
  <c r="I2930" i="4" s="1"/>
  <c r="K2929" i="4"/>
  <c r="J2929" i="4"/>
  <c r="H2929" i="4"/>
  <c r="I2929" i="4" s="1"/>
  <c r="K2928" i="4"/>
  <c r="J2928" i="4"/>
  <c r="H2928" i="4"/>
  <c r="I2928" i="4" s="1"/>
  <c r="K2927" i="4"/>
  <c r="J2927" i="4"/>
  <c r="H2927" i="4"/>
  <c r="I2927" i="4" s="1"/>
  <c r="K2926" i="4"/>
  <c r="J2926" i="4"/>
  <c r="H2926" i="4"/>
  <c r="I2926" i="4" s="1"/>
  <c r="K2925" i="4"/>
  <c r="J2925" i="4"/>
  <c r="H2925" i="4"/>
  <c r="I2925" i="4" s="1"/>
  <c r="K2924" i="4"/>
  <c r="J2924" i="4"/>
  <c r="H2924" i="4"/>
  <c r="I2924" i="4" s="1"/>
  <c r="K2923" i="4"/>
  <c r="J2923" i="4"/>
  <c r="H2923" i="4"/>
  <c r="I2923" i="4" s="1"/>
  <c r="K2922" i="4"/>
  <c r="J2922" i="4"/>
  <c r="H2922" i="4"/>
  <c r="I2922" i="4" s="1"/>
  <c r="K2921" i="4"/>
  <c r="J2921" i="4"/>
  <c r="H2921" i="4"/>
  <c r="I2921" i="4" s="1"/>
  <c r="K2920" i="4"/>
  <c r="J2920" i="4"/>
  <c r="H2920" i="4"/>
  <c r="I2920" i="4" s="1"/>
  <c r="K2919" i="4"/>
  <c r="J2919" i="4"/>
  <c r="H2919" i="4"/>
  <c r="I2919" i="4" s="1"/>
  <c r="K2918" i="4"/>
  <c r="J2918" i="4"/>
  <c r="H2918" i="4"/>
  <c r="I2918" i="4" s="1"/>
  <c r="K2917" i="4"/>
  <c r="J2917" i="4"/>
  <c r="H2917" i="4"/>
  <c r="I2917" i="4" s="1"/>
  <c r="K2916" i="4"/>
  <c r="J2916" i="4"/>
  <c r="H2916" i="4"/>
  <c r="I2916" i="4" s="1"/>
  <c r="K2915" i="4"/>
  <c r="J2915" i="4"/>
  <c r="H2915" i="4"/>
  <c r="I2915" i="4" s="1"/>
  <c r="K2914" i="4"/>
  <c r="J2914" i="4"/>
  <c r="H2914" i="4"/>
  <c r="I2914" i="4" s="1"/>
  <c r="K2913" i="4"/>
  <c r="J2913" i="4"/>
  <c r="H2913" i="4"/>
  <c r="I2913" i="4" s="1"/>
  <c r="K2912" i="4"/>
  <c r="J2912" i="4"/>
  <c r="H2912" i="4"/>
  <c r="I2912" i="4" s="1"/>
  <c r="K2911" i="4"/>
  <c r="J2911" i="4"/>
  <c r="H2911" i="4"/>
  <c r="I2911" i="4" s="1"/>
  <c r="K2910" i="4"/>
  <c r="J2910" i="4"/>
  <c r="H2910" i="4"/>
  <c r="I2910" i="4" s="1"/>
  <c r="K2909" i="4"/>
  <c r="J2909" i="4"/>
  <c r="H2909" i="4"/>
  <c r="I2909" i="4" s="1"/>
  <c r="K2908" i="4"/>
  <c r="J2908" i="4"/>
  <c r="H2908" i="4"/>
  <c r="I2908" i="4" s="1"/>
  <c r="K2907" i="4"/>
  <c r="J2907" i="4"/>
  <c r="H2907" i="4"/>
  <c r="I2907" i="4" s="1"/>
  <c r="K2906" i="4"/>
  <c r="J2906" i="4"/>
  <c r="H2906" i="4"/>
  <c r="I2906" i="4" s="1"/>
  <c r="K2905" i="4"/>
  <c r="J2905" i="4"/>
  <c r="H2905" i="4"/>
  <c r="I2905" i="4" s="1"/>
  <c r="K2904" i="4"/>
  <c r="J2904" i="4"/>
  <c r="H2904" i="4"/>
  <c r="I2904" i="4" s="1"/>
  <c r="K2903" i="4"/>
  <c r="J2903" i="4"/>
  <c r="H2903" i="4"/>
  <c r="I2903" i="4" s="1"/>
  <c r="K2902" i="4"/>
  <c r="J2902" i="4"/>
  <c r="H2902" i="4"/>
  <c r="I2902" i="4" s="1"/>
  <c r="K2901" i="4"/>
  <c r="J2901" i="4"/>
  <c r="H2901" i="4"/>
  <c r="I2901" i="4" s="1"/>
  <c r="K2900" i="4"/>
  <c r="J2900" i="4"/>
  <c r="H2900" i="4"/>
  <c r="I2900" i="4" s="1"/>
  <c r="K2899" i="4"/>
  <c r="J2899" i="4"/>
  <c r="H2899" i="4"/>
  <c r="I2899" i="4" s="1"/>
  <c r="K2898" i="4"/>
  <c r="J2898" i="4"/>
  <c r="H2898" i="4"/>
  <c r="I2898" i="4" s="1"/>
  <c r="K2897" i="4"/>
  <c r="J2897" i="4"/>
  <c r="H2897" i="4"/>
  <c r="I2897" i="4" s="1"/>
  <c r="K2896" i="4"/>
  <c r="J2896" i="4"/>
  <c r="H2896" i="4"/>
  <c r="I2896" i="4" s="1"/>
  <c r="K2895" i="4"/>
  <c r="J2895" i="4"/>
  <c r="H2895" i="4"/>
  <c r="I2895" i="4" s="1"/>
  <c r="K2894" i="4"/>
  <c r="J2894" i="4"/>
  <c r="H2894" i="4"/>
  <c r="I2894" i="4" s="1"/>
  <c r="K2893" i="4"/>
  <c r="J2893" i="4"/>
  <c r="H2893" i="4"/>
  <c r="I2893" i="4" s="1"/>
  <c r="K2892" i="4"/>
  <c r="J2892" i="4"/>
  <c r="H2892" i="4"/>
  <c r="I2892" i="4" s="1"/>
  <c r="K2891" i="4"/>
  <c r="J2891" i="4"/>
  <c r="H2891" i="4"/>
  <c r="I2891" i="4" s="1"/>
  <c r="K2890" i="4"/>
  <c r="J2890" i="4"/>
  <c r="H2890" i="4"/>
  <c r="I2890" i="4" s="1"/>
  <c r="K2889" i="4"/>
  <c r="J2889" i="4"/>
  <c r="H2889" i="4"/>
  <c r="I2889" i="4" s="1"/>
  <c r="K2888" i="4"/>
  <c r="J2888" i="4"/>
  <c r="H2888" i="4"/>
  <c r="I2888" i="4" s="1"/>
  <c r="K2887" i="4"/>
  <c r="J2887" i="4"/>
  <c r="H2887" i="4"/>
  <c r="I2887" i="4" s="1"/>
  <c r="K2886" i="4"/>
  <c r="J2886" i="4"/>
  <c r="H2886" i="4"/>
  <c r="I2886" i="4" s="1"/>
  <c r="K2885" i="4"/>
  <c r="J2885" i="4"/>
  <c r="H2885" i="4"/>
  <c r="I2885" i="4" s="1"/>
  <c r="K2884" i="4"/>
  <c r="J2884" i="4"/>
  <c r="H2884" i="4"/>
  <c r="I2884" i="4" s="1"/>
  <c r="K2883" i="4"/>
  <c r="J2883" i="4"/>
  <c r="H2883" i="4"/>
  <c r="I2883" i="4" s="1"/>
  <c r="K2882" i="4"/>
  <c r="J2882" i="4"/>
  <c r="H2882" i="4"/>
  <c r="I2882" i="4" s="1"/>
  <c r="K2881" i="4"/>
  <c r="J2881" i="4"/>
  <c r="H2881" i="4"/>
  <c r="I2881" i="4" s="1"/>
  <c r="K2880" i="4"/>
  <c r="J2880" i="4"/>
  <c r="H2880" i="4"/>
  <c r="I2880" i="4" s="1"/>
  <c r="K2879" i="4"/>
  <c r="J2879" i="4"/>
  <c r="H2879" i="4"/>
  <c r="I2879" i="4" s="1"/>
  <c r="K2878" i="4"/>
  <c r="J2878" i="4"/>
  <c r="H2878" i="4"/>
  <c r="I2878" i="4" s="1"/>
  <c r="K2877" i="4"/>
  <c r="J2877" i="4"/>
  <c r="H2877" i="4"/>
  <c r="I2877" i="4" s="1"/>
  <c r="K2876" i="4"/>
  <c r="J2876" i="4"/>
  <c r="H2876" i="4"/>
  <c r="I2876" i="4" s="1"/>
  <c r="K2875" i="4"/>
  <c r="J2875" i="4"/>
  <c r="H2875" i="4"/>
  <c r="I2875" i="4" s="1"/>
  <c r="K2874" i="4"/>
  <c r="J2874" i="4"/>
  <c r="H2874" i="4"/>
  <c r="I2874" i="4" s="1"/>
  <c r="K2873" i="4"/>
  <c r="J2873" i="4"/>
  <c r="H2873" i="4"/>
  <c r="I2873" i="4" s="1"/>
  <c r="K2872" i="4"/>
  <c r="J2872" i="4"/>
  <c r="H2872" i="4"/>
  <c r="I2872" i="4" s="1"/>
  <c r="K2871" i="4"/>
  <c r="J2871" i="4"/>
  <c r="H2871" i="4"/>
  <c r="I2871" i="4" s="1"/>
  <c r="K2870" i="4"/>
  <c r="J2870" i="4"/>
  <c r="H2870" i="4"/>
  <c r="I2870" i="4" s="1"/>
  <c r="K2869" i="4"/>
  <c r="J2869" i="4"/>
  <c r="H2869" i="4"/>
  <c r="I2869" i="4" s="1"/>
  <c r="K2868" i="4"/>
  <c r="J2868" i="4"/>
  <c r="H2868" i="4"/>
  <c r="I2868" i="4" s="1"/>
  <c r="K2867" i="4"/>
  <c r="J2867" i="4"/>
  <c r="H2867" i="4"/>
  <c r="I2867" i="4" s="1"/>
  <c r="K2866" i="4"/>
  <c r="J2866" i="4"/>
  <c r="H2866" i="4"/>
  <c r="I2866" i="4" s="1"/>
  <c r="K2865" i="4"/>
  <c r="J2865" i="4"/>
  <c r="H2865" i="4"/>
  <c r="I2865" i="4" s="1"/>
  <c r="K2864" i="4"/>
  <c r="J2864" i="4"/>
  <c r="H2864" i="4"/>
  <c r="I2864" i="4" s="1"/>
  <c r="K2863" i="4"/>
  <c r="J2863" i="4"/>
  <c r="H2863" i="4"/>
  <c r="I2863" i="4" s="1"/>
  <c r="K2862" i="4"/>
  <c r="J2862" i="4"/>
  <c r="H2862" i="4"/>
  <c r="I2862" i="4" s="1"/>
  <c r="K2861" i="4"/>
  <c r="J2861" i="4"/>
  <c r="H2861" i="4"/>
  <c r="I2861" i="4" s="1"/>
  <c r="K2860" i="4"/>
  <c r="J2860" i="4"/>
  <c r="H2860" i="4"/>
  <c r="I2860" i="4" s="1"/>
  <c r="K2859" i="4"/>
  <c r="J2859" i="4"/>
  <c r="H2859" i="4"/>
  <c r="I2859" i="4" s="1"/>
  <c r="K2858" i="4"/>
  <c r="J2858" i="4"/>
  <c r="H2858" i="4"/>
  <c r="I2858" i="4" s="1"/>
  <c r="K2857" i="4"/>
  <c r="J2857" i="4"/>
  <c r="H2857" i="4"/>
  <c r="I2857" i="4" s="1"/>
  <c r="K2856" i="4"/>
  <c r="J2856" i="4"/>
  <c r="H2856" i="4"/>
  <c r="I2856" i="4" s="1"/>
  <c r="K2855" i="4"/>
  <c r="J2855" i="4"/>
  <c r="H2855" i="4"/>
  <c r="I2855" i="4" s="1"/>
  <c r="K2854" i="4"/>
  <c r="J2854" i="4"/>
  <c r="H2854" i="4"/>
  <c r="I2854" i="4" s="1"/>
  <c r="K2853" i="4"/>
  <c r="J2853" i="4"/>
  <c r="H2853" i="4"/>
  <c r="I2853" i="4" s="1"/>
  <c r="K2852" i="4"/>
  <c r="J2852" i="4"/>
  <c r="H2852" i="4"/>
  <c r="I2852" i="4" s="1"/>
  <c r="K2851" i="4"/>
  <c r="J2851" i="4"/>
  <c r="H2851" i="4"/>
  <c r="I2851" i="4" s="1"/>
  <c r="K2850" i="4"/>
  <c r="J2850" i="4"/>
  <c r="H2850" i="4"/>
  <c r="I2850" i="4" s="1"/>
  <c r="K2849" i="4"/>
  <c r="J2849" i="4"/>
  <c r="H2849" i="4"/>
  <c r="I2849" i="4" s="1"/>
  <c r="K2848" i="4"/>
  <c r="J2848" i="4"/>
  <c r="H2848" i="4"/>
  <c r="I2848" i="4" s="1"/>
  <c r="K2847" i="4"/>
  <c r="J2847" i="4"/>
  <c r="H2847" i="4"/>
  <c r="I2847" i="4" s="1"/>
  <c r="K2846" i="4"/>
  <c r="J2846" i="4"/>
  <c r="H2846" i="4"/>
  <c r="I2846" i="4" s="1"/>
  <c r="K2845" i="4"/>
  <c r="J2845" i="4"/>
  <c r="H2845" i="4"/>
  <c r="I2845" i="4" s="1"/>
  <c r="K2844" i="4"/>
  <c r="J2844" i="4"/>
  <c r="H2844" i="4"/>
  <c r="I2844" i="4" s="1"/>
  <c r="K2843" i="4"/>
  <c r="J2843" i="4"/>
  <c r="H2843" i="4"/>
  <c r="I2843" i="4" s="1"/>
  <c r="K2842" i="4"/>
  <c r="J2842" i="4"/>
  <c r="H2842" i="4"/>
  <c r="I2842" i="4" s="1"/>
  <c r="K2841" i="4"/>
  <c r="J2841" i="4"/>
  <c r="H2841" i="4"/>
  <c r="I2841" i="4" s="1"/>
  <c r="K2840" i="4"/>
  <c r="J2840" i="4"/>
  <c r="H2840" i="4"/>
  <c r="I2840" i="4" s="1"/>
  <c r="K2839" i="4"/>
  <c r="J2839" i="4"/>
  <c r="H2839" i="4"/>
  <c r="I2839" i="4" s="1"/>
  <c r="K2838" i="4"/>
  <c r="J2838" i="4"/>
  <c r="H2838" i="4"/>
  <c r="I2838" i="4" s="1"/>
  <c r="K2837" i="4"/>
  <c r="J2837" i="4"/>
  <c r="H2837" i="4"/>
  <c r="I2837" i="4" s="1"/>
  <c r="K2836" i="4"/>
  <c r="J2836" i="4"/>
  <c r="H2836" i="4"/>
  <c r="I2836" i="4" s="1"/>
  <c r="K2835" i="4"/>
  <c r="J2835" i="4"/>
  <c r="H2835" i="4"/>
  <c r="I2835" i="4" s="1"/>
  <c r="K2834" i="4"/>
  <c r="J2834" i="4"/>
  <c r="H2834" i="4"/>
  <c r="I2834" i="4" s="1"/>
  <c r="K2833" i="4"/>
  <c r="J2833" i="4"/>
  <c r="H2833" i="4"/>
  <c r="I2833" i="4" s="1"/>
  <c r="K2832" i="4"/>
  <c r="J2832" i="4"/>
  <c r="H2832" i="4"/>
  <c r="I2832" i="4" s="1"/>
  <c r="K2831" i="4"/>
  <c r="J2831" i="4"/>
  <c r="H2831" i="4"/>
  <c r="I2831" i="4" s="1"/>
  <c r="K2830" i="4"/>
  <c r="J2830" i="4"/>
  <c r="H2830" i="4"/>
  <c r="I2830" i="4" s="1"/>
  <c r="K2829" i="4"/>
  <c r="J2829" i="4"/>
  <c r="H2829" i="4"/>
  <c r="I2829" i="4" s="1"/>
  <c r="K2828" i="4"/>
  <c r="J2828" i="4"/>
  <c r="H2828" i="4"/>
  <c r="I2828" i="4" s="1"/>
  <c r="K2827" i="4"/>
  <c r="J2827" i="4"/>
  <c r="H2827" i="4"/>
  <c r="I2827" i="4" s="1"/>
  <c r="K2826" i="4"/>
  <c r="J2826" i="4"/>
  <c r="H2826" i="4"/>
  <c r="I2826" i="4" s="1"/>
  <c r="K2825" i="4"/>
  <c r="J2825" i="4"/>
  <c r="H2825" i="4"/>
  <c r="I2825" i="4" s="1"/>
  <c r="K2824" i="4"/>
  <c r="J2824" i="4"/>
  <c r="H2824" i="4"/>
  <c r="I2824" i="4" s="1"/>
  <c r="K2823" i="4"/>
  <c r="J2823" i="4"/>
  <c r="H2823" i="4"/>
  <c r="I2823" i="4" s="1"/>
  <c r="K2822" i="4"/>
  <c r="J2822" i="4"/>
  <c r="H2822" i="4"/>
  <c r="I2822" i="4" s="1"/>
  <c r="K2821" i="4"/>
  <c r="J2821" i="4"/>
  <c r="H2821" i="4"/>
  <c r="I2821" i="4" s="1"/>
  <c r="K2820" i="4"/>
  <c r="J2820" i="4"/>
  <c r="H2820" i="4"/>
  <c r="I2820" i="4" s="1"/>
  <c r="K2819" i="4"/>
  <c r="J2819" i="4"/>
  <c r="H2819" i="4"/>
  <c r="I2819" i="4" s="1"/>
  <c r="K2818" i="4"/>
  <c r="J2818" i="4"/>
  <c r="H2818" i="4"/>
  <c r="I2818" i="4" s="1"/>
  <c r="K2817" i="4"/>
  <c r="J2817" i="4"/>
  <c r="H2817" i="4"/>
  <c r="I2817" i="4" s="1"/>
  <c r="K2816" i="4"/>
  <c r="J2816" i="4"/>
  <c r="H2816" i="4"/>
  <c r="I2816" i="4" s="1"/>
  <c r="K2815" i="4"/>
  <c r="J2815" i="4"/>
  <c r="H2815" i="4"/>
  <c r="I2815" i="4" s="1"/>
  <c r="K2814" i="4"/>
  <c r="J2814" i="4"/>
  <c r="H2814" i="4"/>
  <c r="I2814" i="4" s="1"/>
  <c r="K2813" i="4"/>
  <c r="J2813" i="4"/>
  <c r="H2813" i="4"/>
  <c r="I2813" i="4" s="1"/>
  <c r="K2812" i="4"/>
  <c r="J2812" i="4"/>
  <c r="H2812" i="4"/>
  <c r="I2812" i="4" s="1"/>
  <c r="K2811" i="4"/>
  <c r="J2811" i="4"/>
  <c r="H2811" i="4"/>
  <c r="I2811" i="4" s="1"/>
  <c r="K2810" i="4"/>
  <c r="J2810" i="4"/>
  <c r="H2810" i="4"/>
  <c r="I2810" i="4" s="1"/>
  <c r="K2809" i="4"/>
  <c r="J2809" i="4"/>
  <c r="H2809" i="4"/>
  <c r="I2809" i="4" s="1"/>
  <c r="K2808" i="4"/>
  <c r="J2808" i="4"/>
  <c r="H2808" i="4"/>
  <c r="I2808" i="4" s="1"/>
  <c r="K2807" i="4"/>
  <c r="J2807" i="4"/>
  <c r="H2807" i="4"/>
  <c r="I2807" i="4" s="1"/>
  <c r="K2806" i="4"/>
  <c r="J2806" i="4"/>
  <c r="H2806" i="4"/>
  <c r="I2806" i="4" s="1"/>
  <c r="K2805" i="4"/>
  <c r="J2805" i="4"/>
  <c r="H2805" i="4"/>
  <c r="I2805" i="4" s="1"/>
  <c r="K2804" i="4"/>
  <c r="J2804" i="4"/>
  <c r="H2804" i="4"/>
  <c r="I2804" i="4" s="1"/>
  <c r="K2803" i="4"/>
  <c r="J2803" i="4"/>
  <c r="H2803" i="4"/>
  <c r="I2803" i="4" s="1"/>
  <c r="K2802" i="4"/>
  <c r="J2802" i="4"/>
  <c r="H2802" i="4"/>
  <c r="I2802" i="4" s="1"/>
  <c r="K2801" i="4"/>
  <c r="J2801" i="4"/>
  <c r="H2801" i="4"/>
  <c r="I2801" i="4" s="1"/>
  <c r="K2800" i="4"/>
  <c r="J2800" i="4"/>
  <c r="H2800" i="4"/>
  <c r="I2800" i="4" s="1"/>
  <c r="K2799" i="4"/>
  <c r="J2799" i="4"/>
  <c r="H2799" i="4"/>
  <c r="I2799" i="4" s="1"/>
  <c r="K2798" i="4"/>
  <c r="J2798" i="4"/>
  <c r="H2798" i="4"/>
  <c r="I2798" i="4" s="1"/>
  <c r="K2797" i="4"/>
  <c r="J2797" i="4"/>
  <c r="H2797" i="4"/>
  <c r="I2797" i="4" s="1"/>
  <c r="K2796" i="4"/>
  <c r="J2796" i="4"/>
  <c r="H2796" i="4"/>
  <c r="I2796" i="4" s="1"/>
  <c r="K2795" i="4"/>
  <c r="J2795" i="4"/>
  <c r="H2795" i="4"/>
  <c r="I2795" i="4" s="1"/>
  <c r="K2794" i="4"/>
  <c r="J2794" i="4"/>
  <c r="H2794" i="4"/>
  <c r="I2794" i="4" s="1"/>
  <c r="K2793" i="4"/>
  <c r="J2793" i="4"/>
  <c r="H2793" i="4"/>
  <c r="I2793" i="4" s="1"/>
  <c r="K2792" i="4"/>
  <c r="J2792" i="4"/>
  <c r="H2792" i="4"/>
  <c r="I2792" i="4" s="1"/>
  <c r="K2791" i="4"/>
  <c r="J2791" i="4"/>
  <c r="H2791" i="4"/>
  <c r="I2791" i="4" s="1"/>
  <c r="K2790" i="4"/>
  <c r="J2790" i="4"/>
  <c r="H2790" i="4"/>
  <c r="I2790" i="4" s="1"/>
  <c r="K2789" i="4"/>
  <c r="J2789" i="4"/>
  <c r="H2789" i="4"/>
  <c r="I2789" i="4" s="1"/>
  <c r="K2788" i="4"/>
  <c r="J2788" i="4"/>
  <c r="H2788" i="4"/>
  <c r="I2788" i="4" s="1"/>
  <c r="K2787" i="4"/>
  <c r="J2787" i="4"/>
  <c r="H2787" i="4"/>
  <c r="I2787" i="4" s="1"/>
  <c r="K2786" i="4"/>
  <c r="J2786" i="4"/>
  <c r="H2786" i="4"/>
  <c r="I2786" i="4" s="1"/>
  <c r="K2785" i="4"/>
  <c r="J2785" i="4"/>
  <c r="H2785" i="4"/>
  <c r="I2785" i="4" s="1"/>
  <c r="K2784" i="4"/>
  <c r="J2784" i="4"/>
  <c r="H2784" i="4"/>
  <c r="I2784" i="4" s="1"/>
  <c r="K2783" i="4"/>
  <c r="J2783" i="4"/>
  <c r="H2783" i="4"/>
  <c r="I2783" i="4" s="1"/>
  <c r="K2782" i="4"/>
  <c r="J2782" i="4"/>
  <c r="H2782" i="4"/>
  <c r="I2782" i="4" s="1"/>
  <c r="K2781" i="4"/>
  <c r="J2781" i="4"/>
  <c r="H2781" i="4"/>
  <c r="I2781" i="4" s="1"/>
  <c r="K2780" i="4"/>
  <c r="J2780" i="4"/>
  <c r="H2780" i="4"/>
  <c r="I2780" i="4" s="1"/>
  <c r="K2779" i="4"/>
  <c r="J2779" i="4"/>
  <c r="H2779" i="4"/>
  <c r="I2779" i="4" s="1"/>
  <c r="K2778" i="4"/>
  <c r="J2778" i="4"/>
  <c r="H2778" i="4"/>
  <c r="I2778" i="4" s="1"/>
  <c r="K2777" i="4"/>
  <c r="J2777" i="4"/>
  <c r="H2777" i="4"/>
  <c r="I2777" i="4" s="1"/>
  <c r="K2776" i="4"/>
  <c r="J2776" i="4"/>
  <c r="H2776" i="4"/>
  <c r="I2776" i="4" s="1"/>
  <c r="K2775" i="4"/>
  <c r="J2775" i="4"/>
  <c r="H2775" i="4"/>
  <c r="I2775" i="4" s="1"/>
  <c r="K2774" i="4"/>
  <c r="J2774" i="4"/>
  <c r="H2774" i="4"/>
  <c r="I2774" i="4" s="1"/>
  <c r="K2773" i="4"/>
  <c r="J2773" i="4"/>
  <c r="H2773" i="4"/>
  <c r="I2773" i="4" s="1"/>
  <c r="K2772" i="4"/>
  <c r="J2772" i="4"/>
  <c r="H2772" i="4"/>
  <c r="I2772" i="4" s="1"/>
  <c r="K2771" i="4"/>
  <c r="J2771" i="4"/>
  <c r="H2771" i="4"/>
  <c r="I2771" i="4" s="1"/>
  <c r="K2770" i="4"/>
  <c r="J2770" i="4"/>
  <c r="H2770" i="4"/>
  <c r="I2770" i="4" s="1"/>
  <c r="K2769" i="4"/>
  <c r="J2769" i="4"/>
  <c r="H2769" i="4"/>
  <c r="I2769" i="4" s="1"/>
  <c r="K2768" i="4"/>
  <c r="J2768" i="4"/>
  <c r="H2768" i="4"/>
  <c r="I2768" i="4" s="1"/>
  <c r="K2767" i="4"/>
  <c r="J2767" i="4"/>
  <c r="H2767" i="4"/>
  <c r="I2767" i="4" s="1"/>
  <c r="K2766" i="4"/>
  <c r="J2766" i="4"/>
  <c r="H2766" i="4"/>
  <c r="I2766" i="4" s="1"/>
  <c r="K2765" i="4"/>
  <c r="J2765" i="4"/>
  <c r="H2765" i="4"/>
  <c r="I2765" i="4" s="1"/>
  <c r="K2764" i="4"/>
  <c r="J2764" i="4"/>
  <c r="H2764" i="4"/>
  <c r="I2764" i="4" s="1"/>
  <c r="K2763" i="4"/>
  <c r="J2763" i="4"/>
  <c r="H2763" i="4"/>
  <c r="I2763" i="4" s="1"/>
  <c r="K2762" i="4"/>
  <c r="J2762" i="4"/>
  <c r="H2762" i="4"/>
  <c r="I2762" i="4" s="1"/>
  <c r="K2761" i="4"/>
  <c r="J2761" i="4"/>
  <c r="H2761" i="4"/>
  <c r="I2761" i="4" s="1"/>
  <c r="K2760" i="4"/>
  <c r="J2760" i="4"/>
  <c r="H2760" i="4"/>
  <c r="I2760" i="4" s="1"/>
  <c r="K2759" i="4"/>
  <c r="J2759" i="4"/>
  <c r="H2759" i="4"/>
  <c r="I2759" i="4" s="1"/>
  <c r="K2758" i="4"/>
  <c r="J2758" i="4"/>
  <c r="H2758" i="4"/>
  <c r="I2758" i="4" s="1"/>
  <c r="K2757" i="4"/>
  <c r="J2757" i="4"/>
  <c r="H2757" i="4"/>
  <c r="I2757" i="4" s="1"/>
  <c r="K2756" i="4"/>
  <c r="J2756" i="4"/>
  <c r="H2756" i="4"/>
  <c r="I2756" i="4" s="1"/>
  <c r="K2755" i="4"/>
  <c r="J2755" i="4"/>
  <c r="H2755" i="4"/>
  <c r="I2755" i="4" s="1"/>
  <c r="K2754" i="4"/>
  <c r="J2754" i="4"/>
  <c r="H2754" i="4"/>
  <c r="I2754" i="4" s="1"/>
  <c r="K2753" i="4"/>
  <c r="J2753" i="4"/>
  <c r="H2753" i="4"/>
  <c r="I2753" i="4" s="1"/>
  <c r="K2752" i="4"/>
  <c r="J2752" i="4"/>
  <c r="H2752" i="4"/>
  <c r="I2752" i="4" s="1"/>
  <c r="K2751" i="4"/>
  <c r="J2751" i="4"/>
  <c r="H2751" i="4"/>
  <c r="I2751" i="4" s="1"/>
  <c r="K2750" i="4"/>
  <c r="J2750" i="4"/>
  <c r="H2750" i="4"/>
  <c r="I2750" i="4" s="1"/>
  <c r="K2749" i="4"/>
  <c r="J2749" i="4"/>
  <c r="H2749" i="4"/>
  <c r="I2749" i="4" s="1"/>
  <c r="K2748" i="4"/>
  <c r="J2748" i="4"/>
  <c r="H2748" i="4"/>
  <c r="I2748" i="4" s="1"/>
  <c r="K2747" i="4"/>
  <c r="J2747" i="4"/>
  <c r="H2747" i="4"/>
  <c r="I2747" i="4" s="1"/>
  <c r="K2746" i="4"/>
  <c r="J2746" i="4"/>
  <c r="H2746" i="4"/>
  <c r="I2746" i="4" s="1"/>
  <c r="K2745" i="4"/>
  <c r="J2745" i="4"/>
  <c r="H2745" i="4"/>
  <c r="I2745" i="4" s="1"/>
  <c r="K2744" i="4"/>
  <c r="J2744" i="4"/>
  <c r="H2744" i="4"/>
  <c r="I2744" i="4" s="1"/>
  <c r="K2743" i="4"/>
  <c r="J2743" i="4"/>
  <c r="H2743" i="4"/>
  <c r="I2743" i="4" s="1"/>
  <c r="K2742" i="4"/>
  <c r="J2742" i="4"/>
  <c r="H2742" i="4"/>
  <c r="I2742" i="4" s="1"/>
  <c r="K2741" i="4"/>
  <c r="J2741" i="4"/>
  <c r="H2741" i="4"/>
  <c r="I2741" i="4" s="1"/>
  <c r="K2740" i="4"/>
  <c r="J2740" i="4"/>
  <c r="H2740" i="4"/>
  <c r="I2740" i="4" s="1"/>
  <c r="K2739" i="4"/>
  <c r="J2739" i="4"/>
  <c r="H2739" i="4"/>
  <c r="I2739" i="4" s="1"/>
  <c r="K2738" i="4"/>
  <c r="J2738" i="4"/>
  <c r="H2738" i="4"/>
  <c r="I2738" i="4" s="1"/>
  <c r="K2737" i="4"/>
  <c r="J2737" i="4"/>
  <c r="H2737" i="4"/>
  <c r="I2737" i="4" s="1"/>
  <c r="K2736" i="4"/>
  <c r="J2736" i="4"/>
  <c r="H2736" i="4"/>
  <c r="I2736" i="4" s="1"/>
  <c r="K2735" i="4"/>
  <c r="J2735" i="4"/>
  <c r="H2735" i="4"/>
  <c r="I2735" i="4" s="1"/>
  <c r="K2734" i="4"/>
  <c r="J2734" i="4"/>
  <c r="H2734" i="4"/>
  <c r="I2734" i="4" s="1"/>
  <c r="K2733" i="4"/>
  <c r="J2733" i="4"/>
  <c r="H2733" i="4"/>
  <c r="I2733" i="4" s="1"/>
  <c r="K2732" i="4"/>
  <c r="J2732" i="4"/>
  <c r="H2732" i="4"/>
  <c r="I2732" i="4" s="1"/>
  <c r="K2731" i="4"/>
  <c r="J2731" i="4"/>
  <c r="H2731" i="4"/>
  <c r="I2731" i="4" s="1"/>
  <c r="K2730" i="4"/>
  <c r="J2730" i="4"/>
  <c r="H2730" i="4"/>
  <c r="I2730" i="4" s="1"/>
  <c r="K2729" i="4"/>
  <c r="J2729" i="4"/>
  <c r="H2729" i="4"/>
  <c r="I2729" i="4" s="1"/>
  <c r="K2728" i="4"/>
  <c r="J2728" i="4"/>
  <c r="H2728" i="4"/>
  <c r="I2728" i="4" s="1"/>
  <c r="K2727" i="4"/>
  <c r="J2727" i="4"/>
  <c r="H2727" i="4"/>
  <c r="I2727" i="4" s="1"/>
  <c r="K2726" i="4"/>
  <c r="J2726" i="4"/>
  <c r="H2726" i="4"/>
  <c r="I2726" i="4" s="1"/>
  <c r="K2725" i="4"/>
  <c r="J2725" i="4"/>
  <c r="H2725" i="4"/>
  <c r="I2725" i="4" s="1"/>
  <c r="K2724" i="4"/>
  <c r="J2724" i="4"/>
  <c r="H2724" i="4"/>
  <c r="I2724" i="4" s="1"/>
  <c r="K2723" i="4"/>
  <c r="J2723" i="4"/>
  <c r="H2723" i="4"/>
  <c r="I2723" i="4" s="1"/>
  <c r="K2722" i="4"/>
  <c r="J2722" i="4"/>
  <c r="H2722" i="4"/>
  <c r="I2722" i="4" s="1"/>
  <c r="K2721" i="4"/>
  <c r="J2721" i="4"/>
  <c r="H2721" i="4"/>
  <c r="I2721" i="4" s="1"/>
  <c r="K2720" i="4"/>
  <c r="J2720" i="4"/>
  <c r="H2720" i="4"/>
  <c r="I2720" i="4" s="1"/>
  <c r="K2719" i="4"/>
  <c r="J2719" i="4"/>
  <c r="H2719" i="4"/>
  <c r="I2719" i="4" s="1"/>
  <c r="K2718" i="4"/>
  <c r="J2718" i="4"/>
  <c r="H2718" i="4"/>
  <c r="I2718" i="4" s="1"/>
  <c r="K2717" i="4"/>
  <c r="J2717" i="4"/>
  <c r="H2717" i="4"/>
  <c r="I2717" i="4" s="1"/>
  <c r="K2716" i="4"/>
  <c r="J2716" i="4"/>
  <c r="H2716" i="4"/>
  <c r="I2716" i="4" s="1"/>
  <c r="K2715" i="4"/>
  <c r="J2715" i="4"/>
  <c r="H2715" i="4"/>
  <c r="I2715" i="4" s="1"/>
  <c r="K2714" i="4"/>
  <c r="J2714" i="4"/>
  <c r="H2714" i="4"/>
  <c r="I2714" i="4" s="1"/>
  <c r="K2713" i="4"/>
  <c r="J2713" i="4"/>
  <c r="H2713" i="4"/>
  <c r="I2713" i="4" s="1"/>
  <c r="K2712" i="4"/>
  <c r="J2712" i="4"/>
  <c r="H2712" i="4"/>
  <c r="I2712" i="4" s="1"/>
  <c r="K2711" i="4"/>
  <c r="J2711" i="4"/>
  <c r="H2711" i="4"/>
  <c r="I2711" i="4" s="1"/>
  <c r="K2710" i="4"/>
  <c r="J2710" i="4"/>
  <c r="H2710" i="4"/>
  <c r="I2710" i="4" s="1"/>
  <c r="K2709" i="4"/>
  <c r="J2709" i="4"/>
  <c r="H2709" i="4"/>
  <c r="I2709" i="4" s="1"/>
  <c r="K2708" i="4"/>
  <c r="J2708" i="4"/>
  <c r="H2708" i="4"/>
  <c r="I2708" i="4" s="1"/>
  <c r="K2707" i="4"/>
  <c r="J2707" i="4"/>
  <c r="H2707" i="4"/>
  <c r="I2707" i="4" s="1"/>
  <c r="K2706" i="4"/>
  <c r="J2706" i="4"/>
  <c r="H2706" i="4"/>
  <c r="I2706" i="4" s="1"/>
  <c r="K2705" i="4"/>
  <c r="J2705" i="4"/>
  <c r="H2705" i="4"/>
  <c r="I2705" i="4" s="1"/>
  <c r="K2704" i="4"/>
  <c r="J2704" i="4"/>
  <c r="H2704" i="4"/>
  <c r="I2704" i="4" s="1"/>
  <c r="K2703" i="4"/>
  <c r="J2703" i="4"/>
  <c r="H2703" i="4"/>
  <c r="I2703" i="4" s="1"/>
  <c r="K2702" i="4"/>
  <c r="J2702" i="4"/>
  <c r="H2702" i="4"/>
  <c r="I2702" i="4" s="1"/>
  <c r="K2701" i="4"/>
  <c r="J2701" i="4"/>
  <c r="H2701" i="4"/>
  <c r="I2701" i="4" s="1"/>
  <c r="K2700" i="4"/>
  <c r="J2700" i="4"/>
  <c r="H2700" i="4"/>
  <c r="I2700" i="4" s="1"/>
  <c r="K2699" i="4"/>
  <c r="J2699" i="4"/>
  <c r="H2699" i="4"/>
  <c r="I2699" i="4" s="1"/>
  <c r="K2698" i="4"/>
  <c r="J2698" i="4"/>
  <c r="H2698" i="4"/>
  <c r="I2698" i="4" s="1"/>
  <c r="K2697" i="4"/>
  <c r="J2697" i="4"/>
  <c r="H2697" i="4"/>
  <c r="I2697" i="4" s="1"/>
  <c r="K2696" i="4"/>
  <c r="J2696" i="4"/>
  <c r="H2696" i="4"/>
  <c r="I2696" i="4" s="1"/>
  <c r="K2695" i="4"/>
  <c r="J2695" i="4"/>
  <c r="H2695" i="4"/>
  <c r="I2695" i="4" s="1"/>
  <c r="K2694" i="4"/>
  <c r="J2694" i="4"/>
  <c r="H2694" i="4"/>
  <c r="I2694" i="4" s="1"/>
  <c r="K2693" i="4"/>
  <c r="J2693" i="4"/>
  <c r="H2693" i="4"/>
  <c r="I2693" i="4" s="1"/>
  <c r="K2692" i="4"/>
  <c r="J2692" i="4"/>
  <c r="H2692" i="4"/>
  <c r="I2692" i="4" s="1"/>
  <c r="K2691" i="4"/>
  <c r="J2691" i="4"/>
  <c r="H2691" i="4"/>
  <c r="I2691" i="4" s="1"/>
  <c r="K2690" i="4"/>
  <c r="J2690" i="4"/>
  <c r="H2690" i="4"/>
  <c r="I2690" i="4" s="1"/>
  <c r="K2689" i="4"/>
  <c r="J2689" i="4"/>
  <c r="H2689" i="4"/>
  <c r="I2689" i="4" s="1"/>
  <c r="K2688" i="4"/>
  <c r="J2688" i="4"/>
  <c r="H2688" i="4"/>
  <c r="I2688" i="4" s="1"/>
  <c r="K2687" i="4"/>
  <c r="J2687" i="4"/>
  <c r="H2687" i="4"/>
  <c r="I2687" i="4" s="1"/>
  <c r="K2686" i="4"/>
  <c r="J2686" i="4"/>
  <c r="H2686" i="4"/>
  <c r="I2686" i="4" s="1"/>
  <c r="K2685" i="4"/>
  <c r="J2685" i="4"/>
  <c r="H2685" i="4"/>
  <c r="I2685" i="4" s="1"/>
  <c r="K2684" i="4"/>
  <c r="J2684" i="4"/>
  <c r="H2684" i="4"/>
  <c r="I2684" i="4" s="1"/>
  <c r="K2683" i="4"/>
  <c r="J2683" i="4"/>
  <c r="H2683" i="4"/>
  <c r="I2683" i="4" s="1"/>
  <c r="K2682" i="4"/>
  <c r="J2682" i="4"/>
  <c r="H2682" i="4"/>
  <c r="I2682" i="4" s="1"/>
  <c r="K2681" i="4"/>
  <c r="J2681" i="4"/>
  <c r="H2681" i="4"/>
  <c r="I2681" i="4" s="1"/>
  <c r="K2680" i="4"/>
  <c r="J2680" i="4"/>
  <c r="H2680" i="4"/>
  <c r="I2680" i="4" s="1"/>
  <c r="K2679" i="4"/>
  <c r="J2679" i="4"/>
  <c r="H2679" i="4"/>
  <c r="I2679" i="4" s="1"/>
  <c r="K2678" i="4"/>
  <c r="J2678" i="4"/>
  <c r="H2678" i="4"/>
  <c r="I2678" i="4" s="1"/>
  <c r="K2677" i="4"/>
  <c r="J2677" i="4"/>
  <c r="H2677" i="4"/>
  <c r="I2677" i="4" s="1"/>
  <c r="K2676" i="4"/>
  <c r="J2676" i="4"/>
  <c r="H2676" i="4"/>
  <c r="I2676" i="4" s="1"/>
  <c r="K2675" i="4"/>
  <c r="J2675" i="4"/>
  <c r="H2675" i="4"/>
  <c r="I2675" i="4" s="1"/>
  <c r="K2674" i="4"/>
  <c r="J2674" i="4"/>
  <c r="H2674" i="4"/>
  <c r="I2674" i="4" s="1"/>
  <c r="K2673" i="4"/>
  <c r="J2673" i="4"/>
  <c r="H2673" i="4"/>
  <c r="I2673" i="4" s="1"/>
  <c r="K2672" i="4"/>
  <c r="J2672" i="4"/>
  <c r="H2672" i="4"/>
  <c r="I2672" i="4" s="1"/>
  <c r="K2671" i="4"/>
  <c r="J2671" i="4"/>
  <c r="H2671" i="4"/>
  <c r="I2671" i="4" s="1"/>
  <c r="K2670" i="4"/>
  <c r="J2670" i="4"/>
  <c r="H2670" i="4"/>
  <c r="I2670" i="4" s="1"/>
  <c r="K2669" i="4"/>
  <c r="J2669" i="4"/>
  <c r="H2669" i="4"/>
  <c r="I2669" i="4" s="1"/>
  <c r="K2668" i="4"/>
  <c r="J2668" i="4"/>
  <c r="H2668" i="4"/>
  <c r="I2668" i="4" s="1"/>
  <c r="K2667" i="4"/>
  <c r="J2667" i="4"/>
  <c r="H2667" i="4"/>
  <c r="I2667" i="4" s="1"/>
  <c r="K2666" i="4"/>
  <c r="J2666" i="4"/>
  <c r="H2666" i="4"/>
  <c r="I2666" i="4" s="1"/>
  <c r="K2665" i="4"/>
  <c r="J2665" i="4"/>
  <c r="H2665" i="4"/>
  <c r="I2665" i="4" s="1"/>
  <c r="K2664" i="4"/>
  <c r="J2664" i="4"/>
  <c r="H2664" i="4"/>
  <c r="I2664" i="4" s="1"/>
  <c r="K2663" i="4"/>
  <c r="J2663" i="4"/>
  <c r="H2663" i="4"/>
  <c r="I2663" i="4" s="1"/>
  <c r="K2662" i="4"/>
  <c r="J2662" i="4"/>
  <c r="H2662" i="4"/>
  <c r="I2662" i="4" s="1"/>
  <c r="K2661" i="4"/>
  <c r="J2661" i="4"/>
  <c r="H2661" i="4"/>
  <c r="I2661" i="4" s="1"/>
  <c r="K2660" i="4"/>
  <c r="J2660" i="4"/>
  <c r="H2660" i="4"/>
  <c r="I2660" i="4" s="1"/>
  <c r="K2659" i="4"/>
  <c r="J2659" i="4"/>
  <c r="H2659" i="4"/>
  <c r="I2659" i="4" s="1"/>
  <c r="K2658" i="4"/>
  <c r="J2658" i="4"/>
  <c r="H2658" i="4"/>
  <c r="I2658" i="4" s="1"/>
  <c r="K2657" i="4"/>
  <c r="J2657" i="4"/>
  <c r="H2657" i="4"/>
  <c r="I2657" i="4" s="1"/>
  <c r="K2656" i="4"/>
  <c r="J2656" i="4"/>
  <c r="H2656" i="4"/>
  <c r="I2656" i="4" s="1"/>
  <c r="K2655" i="4"/>
  <c r="J2655" i="4"/>
  <c r="H2655" i="4"/>
  <c r="I2655" i="4" s="1"/>
  <c r="K2654" i="4"/>
  <c r="J2654" i="4"/>
  <c r="H2654" i="4"/>
  <c r="I2654" i="4" s="1"/>
  <c r="K2653" i="4"/>
  <c r="J2653" i="4"/>
  <c r="H2653" i="4"/>
  <c r="I2653" i="4" s="1"/>
  <c r="K2652" i="4"/>
  <c r="J2652" i="4"/>
  <c r="H2652" i="4"/>
  <c r="I2652" i="4" s="1"/>
  <c r="K2651" i="4"/>
  <c r="J2651" i="4"/>
  <c r="H2651" i="4"/>
  <c r="I2651" i="4" s="1"/>
  <c r="K2650" i="4"/>
  <c r="J2650" i="4"/>
  <c r="H2650" i="4"/>
  <c r="I2650" i="4" s="1"/>
  <c r="K2649" i="4"/>
  <c r="J2649" i="4"/>
  <c r="H2649" i="4"/>
  <c r="I2649" i="4" s="1"/>
  <c r="K2648" i="4"/>
  <c r="J2648" i="4"/>
  <c r="H2648" i="4"/>
  <c r="I2648" i="4" s="1"/>
  <c r="K2647" i="4"/>
  <c r="J2647" i="4"/>
  <c r="H2647" i="4"/>
  <c r="I2647" i="4" s="1"/>
  <c r="K2646" i="4"/>
  <c r="J2646" i="4"/>
  <c r="H2646" i="4"/>
  <c r="I2646" i="4" s="1"/>
  <c r="K2645" i="4"/>
  <c r="J2645" i="4"/>
  <c r="H2645" i="4"/>
  <c r="I2645" i="4" s="1"/>
  <c r="K2644" i="4"/>
  <c r="J2644" i="4"/>
  <c r="H2644" i="4"/>
  <c r="I2644" i="4" s="1"/>
  <c r="K2643" i="4"/>
  <c r="J2643" i="4"/>
  <c r="H2643" i="4"/>
  <c r="I2643" i="4" s="1"/>
  <c r="K2642" i="4"/>
  <c r="J2642" i="4"/>
  <c r="H2642" i="4"/>
  <c r="I2642" i="4" s="1"/>
  <c r="K2641" i="4"/>
  <c r="J2641" i="4"/>
  <c r="H2641" i="4"/>
  <c r="I2641" i="4" s="1"/>
  <c r="K2640" i="4"/>
  <c r="J2640" i="4"/>
  <c r="H2640" i="4"/>
  <c r="I2640" i="4" s="1"/>
  <c r="K2639" i="4"/>
  <c r="J2639" i="4"/>
  <c r="H2639" i="4"/>
  <c r="I2639" i="4" s="1"/>
  <c r="K2638" i="4"/>
  <c r="J2638" i="4"/>
  <c r="H2638" i="4"/>
  <c r="I2638" i="4" s="1"/>
  <c r="K2637" i="4"/>
  <c r="J2637" i="4"/>
  <c r="H2637" i="4"/>
  <c r="I2637" i="4" s="1"/>
  <c r="K2636" i="4"/>
  <c r="J2636" i="4"/>
  <c r="H2636" i="4"/>
  <c r="I2636" i="4" s="1"/>
  <c r="K2635" i="4"/>
  <c r="J2635" i="4"/>
  <c r="H2635" i="4"/>
  <c r="I2635" i="4" s="1"/>
  <c r="K2634" i="4"/>
  <c r="J2634" i="4"/>
  <c r="H2634" i="4"/>
  <c r="I2634" i="4" s="1"/>
  <c r="K2633" i="4"/>
  <c r="J2633" i="4"/>
  <c r="H2633" i="4"/>
  <c r="I2633" i="4" s="1"/>
  <c r="K2632" i="4"/>
  <c r="J2632" i="4"/>
  <c r="H2632" i="4"/>
  <c r="I2632" i="4" s="1"/>
  <c r="K2631" i="4"/>
  <c r="J2631" i="4"/>
  <c r="H2631" i="4"/>
  <c r="I2631" i="4" s="1"/>
  <c r="K2630" i="4"/>
  <c r="J2630" i="4"/>
  <c r="H2630" i="4"/>
  <c r="I2630" i="4" s="1"/>
  <c r="K2629" i="4"/>
  <c r="J2629" i="4"/>
  <c r="H2629" i="4"/>
  <c r="I2629" i="4" s="1"/>
  <c r="K2628" i="4"/>
  <c r="J2628" i="4"/>
  <c r="H2628" i="4"/>
  <c r="I2628" i="4" s="1"/>
  <c r="K2627" i="4"/>
  <c r="J2627" i="4"/>
  <c r="H2627" i="4"/>
  <c r="I2627" i="4" s="1"/>
  <c r="K2626" i="4"/>
  <c r="J2626" i="4"/>
  <c r="H2626" i="4"/>
  <c r="I2626" i="4" s="1"/>
  <c r="K2625" i="4"/>
  <c r="J2625" i="4"/>
  <c r="H2625" i="4"/>
  <c r="I2625" i="4" s="1"/>
  <c r="K2624" i="4"/>
  <c r="J2624" i="4"/>
  <c r="H2624" i="4"/>
  <c r="I2624" i="4" s="1"/>
  <c r="K2623" i="4"/>
  <c r="J2623" i="4"/>
  <c r="H2623" i="4"/>
  <c r="I2623" i="4" s="1"/>
  <c r="K2622" i="4"/>
  <c r="J2622" i="4"/>
  <c r="H2622" i="4"/>
  <c r="I2622" i="4" s="1"/>
  <c r="K2621" i="4"/>
  <c r="J2621" i="4"/>
  <c r="H2621" i="4"/>
  <c r="I2621" i="4" s="1"/>
  <c r="K2620" i="4"/>
  <c r="J2620" i="4"/>
  <c r="H2620" i="4"/>
  <c r="I2620" i="4" s="1"/>
  <c r="K2619" i="4"/>
  <c r="J2619" i="4"/>
  <c r="H2619" i="4"/>
  <c r="I2619" i="4" s="1"/>
  <c r="K2618" i="4"/>
  <c r="J2618" i="4"/>
  <c r="H2618" i="4"/>
  <c r="I2618" i="4" s="1"/>
  <c r="K2617" i="4"/>
  <c r="J2617" i="4"/>
  <c r="H2617" i="4"/>
  <c r="I2617" i="4" s="1"/>
  <c r="K2616" i="4"/>
  <c r="J2616" i="4"/>
  <c r="H2616" i="4"/>
  <c r="I2616" i="4" s="1"/>
  <c r="K2615" i="4"/>
  <c r="J2615" i="4"/>
  <c r="H2615" i="4"/>
  <c r="I2615" i="4" s="1"/>
  <c r="K2614" i="4"/>
  <c r="J2614" i="4"/>
  <c r="H2614" i="4"/>
  <c r="I2614" i="4" s="1"/>
  <c r="K2613" i="4"/>
  <c r="J2613" i="4"/>
  <c r="H2613" i="4"/>
  <c r="I2613" i="4" s="1"/>
  <c r="K2612" i="4"/>
  <c r="J2612" i="4"/>
  <c r="H2612" i="4"/>
  <c r="I2612" i="4" s="1"/>
  <c r="K2611" i="4"/>
  <c r="J2611" i="4"/>
  <c r="H2611" i="4"/>
  <c r="I2611" i="4" s="1"/>
  <c r="K2610" i="4"/>
  <c r="J2610" i="4"/>
  <c r="H2610" i="4"/>
  <c r="I2610" i="4" s="1"/>
  <c r="K2609" i="4"/>
  <c r="J2609" i="4"/>
  <c r="H2609" i="4"/>
  <c r="I2609" i="4" s="1"/>
  <c r="K2608" i="4"/>
  <c r="J2608" i="4"/>
  <c r="H2608" i="4"/>
  <c r="I2608" i="4" s="1"/>
  <c r="K2607" i="4"/>
  <c r="J2607" i="4"/>
  <c r="H2607" i="4"/>
  <c r="I2607" i="4" s="1"/>
  <c r="K2606" i="4"/>
  <c r="J2606" i="4"/>
  <c r="H2606" i="4"/>
  <c r="I2606" i="4" s="1"/>
  <c r="K2605" i="4"/>
  <c r="J2605" i="4"/>
  <c r="H2605" i="4"/>
  <c r="I2605" i="4" s="1"/>
  <c r="K2604" i="4"/>
  <c r="J2604" i="4"/>
  <c r="H2604" i="4"/>
  <c r="I2604" i="4" s="1"/>
  <c r="K2603" i="4"/>
  <c r="J2603" i="4"/>
  <c r="H2603" i="4"/>
  <c r="I2603" i="4" s="1"/>
  <c r="K2602" i="4"/>
  <c r="J2602" i="4"/>
  <c r="H2602" i="4"/>
  <c r="I2602" i="4" s="1"/>
  <c r="K2601" i="4"/>
  <c r="J2601" i="4"/>
  <c r="H2601" i="4"/>
  <c r="I2601" i="4" s="1"/>
  <c r="K2600" i="4"/>
  <c r="J2600" i="4"/>
  <c r="H2600" i="4"/>
  <c r="I2600" i="4" s="1"/>
  <c r="K2599" i="4"/>
  <c r="J2599" i="4"/>
  <c r="H2599" i="4"/>
  <c r="I2599" i="4" s="1"/>
  <c r="K2598" i="4"/>
  <c r="J2598" i="4"/>
  <c r="H2598" i="4"/>
  <c r="I2598" i="4" s="1"/>
  <c r="K2597" i="4"/>
  <c r="J2597" i="4"/>
  <c r="H2597" i="4"/>
  <c r="I2597" i="4" s="1"/>
  <c r="K2596" i="4"/>
  <c r="J2596" i="4"/>
  <c r="H2596" i="4"/>
  <c r="I2596" i="4" s="1"/>
  <c r="K2595" i="4"/>
  <c r="J2595" i="4"/>
  <c r="H2595" i="4"/>
  <c r="I2595" i="4" s="1"/>
  <c r="K2594" i="4"/>
  <c r="J2594" i="4"/>
  <c r="H2594" i="4"/>
  <c r="I2594" i="4" s="1"/>
  <c r="K2593" i="4"/>
  <c r="J2593" i="4"/>
  <c r="H2593" i="4"/>
  <c r="I2593" i="4" s="1"/>
  <c r="K2592" i="4"/>
  <c r="J2592" i="4"/>
  <c r="H2592" i="4"/>
  <c r="I2592" i="4" s="1"/>
  <c r="K2591" i="4"/>
  <c r="J2591" i="4"/>
  <c r="H2591" i="4"/>
  <c r="I2591" i="4" s="1"/>
  <c r="K2590" i="4"/>
  <c r="J2590" i="4"/>
  <c r="H2590" i="4"/>
  <c r="I2590" i="4" s="1"/>
  <c r="K2589" i="4"/>
  <c r="J2589" i="4"/>
  <c r="H2589" i="4"/>
  <c r="I2589" i="4" s="1"/>
  <c r="K2588" i="4"/>
  <c r="J2588" i="4"/>
  <c r="H2588" i="4"/>
  <c r="I2588" i="4" s="1"/>
  <c r="K2587" i="4"/>
  <c r="J2587" i="4"/>
  <c r="H2587" i="4"/>
  <c r="I2587" i="4" s="1"/>
  <c r="K2586" i="4"/>
  <c r="J2586" i="4"/>
  <c r="H2586" i="4"/>
  <c r="I2586" i="4" s="1"/>
  <c r="K2585" i="4"/>
  <c r="J2585" i="4"/>
  <c r="H2585" i="4"/>
  <c r="I2585" i="4" s="1"/>
  <c r="K2584" i="4"/>
  <c r="J2584" i="4"/>
  <c r="H2584" i="4"/>
  <c r="I2584" i="4" s="1"/>
  <c r="K2583" i="4"/>
  <c r="J2583" i="4"/>
  <c r="H2583" i="4"/>
  <c r="I2583" i="4" s="1"/>
  <c r="K2582" i="4"/>
  <c r="J2582" i="4"/>
  <c r="H2582" i="4"/>
  <c r="I2582" i="4" s="1"/>
  <c r="K2581" i="4"/>
  <c r="J2581" i="4"/>
  <c r="H2581" i="4"/>
  <c r="I2581" i="4" s="1"/>
  <c r="K2580" i="4"/>
  <c r="J2580" i="4"/>
  <c r="H2580" i="4"/>
  <c r="I2580" i="4" s="1"/>
  <c r="K2579" i="4"/>
  <c r="J2579" i="4"/>
  <c r="H2579" i="4"/>
  <c r="I2579" i="4" s="1"/>
  <c r="K2578" i="4"/>
  <c r="J2578" i="4"/>
  <c r="H2578" i="4"/>
  <c r="I2578" i="4" s="1"/>
  <c r="K2577" i="4"/>
  <c r="J2577" i="4"/>
  <c r="H2577" i="4"/>
  <c r="I2577" i="4" s="1"/>
  <c r="K2576" i="4"/>
  <c r="J2576" i="4"/>
  <c r="H2576" i="4"/>
  <c r="I2576" i="4" s="1"/>
  <c r="K2575" i="4"/>
  <c r="J2575" i="4"/>
  <c r="H2575" i="4"/>
  <c r="I2575" i="4" s="1"/>
  <c r="K2574" i="4"/>
  <c r="J2574" i="4"/>
  <c r="H2574" i="4"/>
  <c r="I2574" i="4" s="1"/>
  <c r="K2573" i="4"/>
  <c r="J2573" i="4"/>
  <c r="H2573" i="4"/>
  <c r="I2573" i="4" s="1"/>
  <c r="K2572" i="4"/>
  <c r="J2572" i="4"/>
  <c r="H2572" i="4"/>
  <c r="I2572" i="4" s="1"/>
  <c r="K2571" i="4"/>
  <c r="J2571" i="4"/>
  <c r="H2571" i="4"/>
  <c r="I2571" i="4" s="1"/>
  <c r="K2570" i="4"/>
  <c r="J2570" i="4"/>
  <c r="H2570" i="4"/>
  <c r="I2570" i="4" s="1"/>
  <c r="K2569" i="4"/>
  <c r="J2569" i="4"/>
  <c r="H2569" i="4"/>
  <c r="I2569" i="4" s="1"/>
  <c r="K2568" i="4"/>
  <c r="J2568" i="4"/>
  <c r="H2568" i="4"/>
  <c r="I2568" i="4" s="1"/>
  <c r="K2567" i="4"/>
  <c r="J2567" i="4"/>
  <c r="H2567" i="4"/>
  <c r="I2567" i="4" s="1"/>
  <c r="K2566" i="4"/>
  <c r="J2566" i="4"/>
  <c r="H2566" i="4"/>
  <c r="I2566" i="4" s="1"/>
  <c r="K2565" i="4"/>
  <c r="J2565" i="4"/>
  <c r="H2565" i="4"/>
  <c r="I2565" i="4" s="1"/>
  <c r="K2564" i="4"/>
  <c r="J2564" i="4"/>
  <c r="H2564" i="4"/>
  <c r="I2564" i="4" s="1"/>
  <c r="K2563" i="4"/>
  <c r="J2563" i="4"/>
  <c r="H2563" i="4"/>
  <c r="I2563" i="4" s="1"/>
  <c r="K2562" i="4"/>
  <c r="J2562" i="4"/>
  <c r="H2562" i="4"/>
  <c r="I2562" i="4" s="1"/>
  <c r="K2561" i="4"/>
  <c r="J2561" i="4"/>
  <c r="H2561" i="4"/>
  <c r="I2561" i="4" s="1"/>
  <c r="K2560" i="4"/>
  <c r="J2560" i="4"/>
  <c r="H2560" i="4"/>
  <c r="I2560" i="4" s="1"/>
  <c r="K2559" i="4"/>
  <c r="J2559" i="4"/>
  <c r="H2559" i="4"/>
  <c r="I2559" i="4" s="1"/>
  <c r="K2558" i="4"/>
  <c r="J2558" i="4"/>
  <c r="H2558" i="4"/>
  <c r="I2558" i="4" s="1"/>
  <c r="K2557" i="4"/>
  <c r="J2557" i="4"/>
  <c r="H2557" i="4"/>
  <c r="I2557" i="4" s="1"/>
  <c r="K2556" i="4"/>
  <c r="J2556" i="4"/>
  <c r="H2556" i="4"/>
  <c r="I2556" i="4" s="1"/>
  <c r="K2555" i="4"/>
  <c r="J2555" i="4"/>
  <c r="H2555" i="4"/>
  <c r="I2555" i="4" s="1"/>
  <c r="K2554" i="4"/>
  <c r="J2554" i="4"/>
  <c r="H2554" i="4"/>
  <c r="I2554" i="4" s="1"/>
  <c r="K2553" i="4"/>
  <c r="J2553" i="4"/>
  <c r="H2553" i="4"/>
  <c r="I2553" i="4" s="1"/>
  <c r="K2552" i="4"/>
  <c r="J2552" i="4"/>
  <c r="H2552" i="4"/>
  <c r="I2552" i="4" s="1"/>
  <c r="K2551" i="4"/>
  <c r="J2551" i="4"/>
  <c r="H2551" i="4"/>
  <c r="I2551" i="4" s="1"/>
  <c r="K2550" i="4"/>
  <c r="J2550" i="4"/>
  <c r="H2550" i="4"/>
  <c r="I2550" i="4" s="1"/>
  <c r="K2549" i="4"/>
  <c r="J2549" i="4"/>
  <c r="H2549" i="4"/>
  <c r="I2549" i="4" s="1"/>
  <c r="K2548" i="4"/>
  <c r="J2548" i="4"/>
  <c r="H2548" i="4"/>
  <c r="I2548" i="4" s="1"/>
  <c r="K2547" i="4"/>
  <c r="J2547" i="4"/>
  <c r="H2547" i="4"/>
  <c r="I2547" i="4" s="1"/>
  <c r="K2546" i="4"/>
  <c r="J2546" i="4"/>
  <c r="H2546" i="4"/>
  <c r="I2546" i="4" s="1"/>
  <c r="K2545" i="4"/>
  <c r="J2545" i="4"/>
  <c r="H2545" i="4"/>
  <c r="I2545" i="4" s="1"/>
  <c r="K2544" i="4"/>
  <c r="J2544" i="4"/>
  <c r="H2544" i="4"/>
  <c r="I2544" i="4" s="1"/>
  <c r="K2543" i="4"/>
  <c r="J2543" i="4"/>
  <c r="H2543" i="4"/>
  <c r="I2543" i="4" s="1"/>
  <c r="K2542" i="4"/>
  <c r="J2542" i="4"/>
  <c r="H2542" i="4"/>
  <c r="I2542" i="4" s="1"/>
  <c r="K2541" i="4"/>
  <c r="J2541" i="4"/>
  <c r="H2541" i="4"/>
  <c r="I2541" i="4" s="1"/>
  <c r="K2540" i="4"/>
  <c r="J2540" i="4"/>
  <c r="H2540" i="4"/>
  <c r="I2540" i="4" s="1"/>
  <c r="K2539" i="4"/>
  <c r="J2539" i="4"/>
  <c r="H2539" i="4"/>
  <c r="I2539" i="4" s="1"/>
  <c r="K2538" i="4"/>
  <c r="J2538" i="4"/>
  <c r="H2538" i="4"/>
  <c r="I2538" i="4" s="1"/>
  <c r="K2537" i="4"/>
  <c r="J2537" i="4"/>
  <c r="H2537" i="4"/>
  <c r="I2537" i="4" s="1"/>
  <c r="K2536" i="4"/>
  <c r="J2536" i="4"/>
  <c r="H2536" i="4"/>
  <c r="I2536" i="4" s="1"/>
  <c r="K2535" i="4"/>
  <c r="J2535" i="4"/>
  <c r="H2535" i="4"/>
  <c r="I2535" i="4" s="1"/>
  <c r="K2534" i="4"/>
  <c r="J2534" i="4"/>
  <c r="H2534" i="4"/>
  <c r="I2534" i="4" s="1"/>
  <c r="K2533" i="4"/>
  <c r="J2533" i="4"/>
  <c r="H2533" i="4"/>
  <c r="I2533" i="4" s="1"/>
  <c r="K2532" i="4"/>
  <c r="J2532" i="4"/>
  <c r="H2532" i="4"/>
  <c r="I2532" i="4" s="1"/>
  <c r="K2531" i="4"/>
  <c r="J2531" i="4"/>
  <c r="H2531" i="4"/>
  <c r="I2531" i="4" s="1"/>
  <c r="K2530" i="4"/>
  <c r="J2530" i="4"/>
  <c r="H2530" i="4"/>
  <c r="I2530" i="4" s="1"/>
  <c r="K2529" i="4"/>
  <c r="J2529" i="4"/>
  <c r="H2529" i="4"/>
  <c r="I2529" i="4" s="1"/>
  <c r="K2528" i="4"/>
  <c r="J2528" i="4"/>
  <c r="H2528" i="4"/>
  <c r="I2528" i="4" s="1"/>
  <c r="K2527" i="4"/>
  <c r="J2527" i="4"/>
  <c r="H2527" i="4"/>
  <c r="I2527" i="4" s="1"/>
  <c r="K2526" i="4"/>
  <c r="J2526" i="4"/>
  <c r="H2526" i="4"/>
  <c r="I2526" i="4" s="1"/>
  <c r="K2525" i="4"/>
  <c r="J2525" i="4"/>
  <c r="H2525" i="4"/>
  <c r="I2525" i="4" s="1"/>
  <c r="K2524" i="4"/>
  <c r="J2524" i="4"/>
  <c r="H2524" i="4"/>
  <c r="I2524" i="4" s="1"/>
  <c r="K2523" i="4"/>
  <c r="J2523" i="4"/>
  <c r="H2523" i="4"/>
  <c r="I2523" i="4" s="1"/>
  <c r="K2522" i="4"/>
  <c r="J2522" i="4"/>
  <c r="H2522" i="4"/>
  <c r="I2522" i="4" s="1"/>
  <c r="K2521" i="4"/>
  <c r="J2521" i="4"/>
  <c r="H2521" i="4"/>
  <c r="I2521" i="4" s="1"/>
  <c r="K2520" i="4"/>
  <c r="J2520" i="4"/>
  <c r="H2520" i="4"/>
  <c r="I2520" i="4" s="1"/>
  <c r="K2519" i="4"/>
  <c r="J2519" i="4"/>
  <c r="H2519" i="4"/>
  <c r="I2519" i="4" s="1"/>
  <c r="K2518" i="4"/>
  <c r="J2518" i="4"/>
  <c r="H2518" i="4"/>
  <c r="I2518" i="4" s="1"/>
  <c r="K2517" i="4"/>
  <c r="J2517" i="4"/>
  <c r="H2517" i="4"/>
  <c r="I2517" i="4" s="1"/>
  <c r="K2516" i="4"/>
  <c r="J2516" i="4"/>
  <c r="H2516" i="4"/>
  <c r="I2516" i="4" s="1"/>
  <c r="K2515" i="4"/>
  <c r="J2515" i="4"/>
  <c r="H2515" i="4"/>
  <c r="I2515" i="4" s="1"/>
  <c r="K2514" i="4"/>
  <c r="J2514" i="4"/>
  <c r="H2514" i="4"/>
  <c r="I2514" i="4" s="1"/>
  <c r="K2513" i="4"/>
  <c r="J2513" i="4"/>
  <c r="H2513" i="4"/>
  <c r="I2513" i="4" s="1"/>
  <c r="K2512" i="4"/>
  <c r="J2512" i="4"/>
  <c r="H2512" i="4"/>
  <c r="I2512" i="4" s="1"/>
  <c r="K2511" i="4"/>
  <c r="J2511" i="4"/>
  <c r="H2511" i="4"/>
  <c r="I2511" i="4" s="1"/>
  <c r="K2510" i="4"/>
  <c r="J2510" i="4"/>
  <c r="H2510" i="4"/>
  <c r="I2510" i="4" s="1"/>
  <c r="K2509" i="4"/>
  <c r="J2509" i="4"/>
  <c r="H2509" i="4"/>
  <c r="I2509" i="4" s="1"/>
  <c r="K2508" i="4"/>
  <c r="J2508" i="4"/>
  <c r="H2508" i="4"/>
  <c r="I2508" i="4" s="1"/>
  <c r="K2507" i="4"/>
  <c r="J2507" i="4"/>
  <c r="H2507" i="4"/>
  <c r="I2507" i="4" s="1"/>
  <c r="K2506" i="4"/>
  <c r="J2506" i="4"/>
  <c r="H2506" i="4"/>
  <c r="I2506" i="4" s="1"/>
  <c r="K2505" i="4"/>
  <c r="J2505" i="4"/>
  <c r="H2505" i="4"/>
  <c r="I2505" i="4" s="1"/>
  <c r="K2504" i="4"/>
  <c r="J2504" i="4"/>
  <c r="H2504" i="4"/>
  <c r="I2504" i="4" s="1"/>
  <c r="K2503" i="4"/>
  <c r="J2503" i="4"/>
  <c r="H2503" i="4"/>
  <c r="I2503" i="4" s="1"/>
  <c r="K2502" i="4"/>
  <c r="J2502" i="4"/>
  <c r="H2502" i="4"/>
  <c r="I2502" i="4" s="1"/>
  <c r="K2501" i="4"/>
  <c r="J2501" i="4"/>
  <c r="H2501" i="4"/>
  <c r="I2501" i="4" s="1"/>
  <c r="K2500" i="4"/>
  <c r="J2500" i="4"/>
  <c r="H2500" i="4"/>
  <c r="I2500" i="4" s="1"/>
  <c r="K2499" i="4"/>
  <c r="J2499" i="4"/>
  <c r="H2499" i="4"/>
  <c r="I2499" i="4" s="1"/>
  <c r="K2498" i="4"/>
  <c r="J2498" i="4"/>
  <c r="H2498" i="4"/>
  <c r="I2498" i="4" s="1"/>
  <c r="K2497" i="4"/>
  <c r="J2497" i="4"/>
  <c r="H2497" i="4"/>
  <c r="I2497" i="4" s="1"/>
  <c r="K2496" i="4"/>
  <c r="J2496" i="4"/>
  <c r="H2496" i="4"/>
  <c r="I2496" i="4" s="1"/>
  <c r="K2495" i="4"/>
  <c r="J2495" i="4"/>
  <c r="H2495" i="4"/>
  <c r="I2495" i="4" s="1"/>
  <c r="K2494" i="4"/>
  <c r="J2494" i="4"/>
  <c r="H2494" i="4"/>
  <c r="I2494" i="4" s="1"/>
  <c r="K2493" i="4"/>
  <c r="J2493" i="4"/>
  <c r="H2493" i="4"/>
  <c r="I2493" i="4" s="1"/>
  <c r="K2492" i="4"/>
  <c r="J2492" i="4"/>
  <c r="H2492" i="4"/>
  <c r="I2492" i="4" s="1"/>
  <c r="K2491" i="4"/>
  <c r="J2491" i="4"/>
  <c r="H2491" i="4"/>
  <c r="I2491" i="4" s="1"/>
  <c r="K2490" i="4"/>
  <c r="J2490" i="4"/>
  <c r="H2490" i="4"/>
  <c r="I2490" i="4" s="1"/>
  <c r="K2489" i="4"/>
  <c r="J2489" i="4"/>
  <c r="H2489" i="4"/>
  <c r="I2489" i="4" s="1"/>
  <c r="K2488" i="4"/>
  <c r="J2488" i="4"/>
  <c r="H2488" i="4"/>
  <c r="I2488" i="4" s="1"/>
  <c r="K2487" i="4"/>
  <c r="J2487" i="4"/>
  <c r="H2487" i="4"/>
  <c r="I2487" i="4" s="1"/>
  <c r="K2486" i="4"/>
  <c r="J2486" i="4"/>
  <c r="H2486" i="4"/>
  <c r="I2486" i="4" s="1"/>
  <c r="K2485" i="4"/>
  <c r="J2485" i="4"/>
  <c r="H2485" i="4"/>
  <c r="I2485" i="4" s="1"/>
  <c r="K2484" i="4"/>
  <c r="J2484" i="4"/>
  <c r="H2484" i="4"/>
  <c r="I2484" i="4" s="1"/>
  <c r="K2483" i="4"/>
  <c r="J2483" i="4"/>
  <c r="H2483" i="4"/>
  <c r="I2483" i="4" s="1"/>
  <c r="K2482" i="4"/>
  <c r="J2482" i="4"/>
  <c r="H2482" i="4"/>
  <c r="I2482" i="4" s="1"/>
  <c r="K2481" i="4"/>
  <c r="J2481" i="4"/>
  <c r="H2481" i="4"/>
  <c r="I2481" i="4" s="1"/>
  <c r="K2480" i="4"/>
  <c r="J2480" i="4"/>
  <c r="H2480" i="4"/>
  <c r="I2480" i="4" s="1"/>
  <c r="K2479" i="4"/>
  <c r="J2479" i="4"/>
  <c r="H2479" i="4"/>
  <c r="I2479" i="4" s="1"/>
  <c r="K2478" i="4"/>
  <c r="J2478" i="4"/>
  <c r="H2478" i="4"/>
  <c r="I2478" i="4" s="1"/>
  <c r="K2477" i="4"/>
  <c r="J2477" i="4"/>
  <c r="H2477" i="4"/>
  <c r="I2477" i="4" s="1"/>
  <c r="K2476" i="4"/>
  <c r="J2476" i="4"/>
  <c r="H2476" i="4"/>
  <c r="I2476" i="4" s="1"/>
  <c r="K2475" i="4"/>
  <c r="J2475" i="4"/>
  <c r="H2475" i="4"/>
  <c r="I2475" i="4" s="1"/>
  <c r="K2474" i="4"/>
  <c r="J2474" i="4"/>
  <c r="H2474" i="4"/>
  <c r="I2474" i="4" s="1"/>
  <c r="K2473" i="4"/>
  <c r="J2473" i="4"/>
  <c r="H2473" i="4"/>
  <c r="I2473" i="4" s="1"/>
  <c r="K2472" i="4"/>
  <c r="J2472" i="4"/>
  <c r="H2472" i="4"/>
  <c r="I2472" i="4" s="1"/>
  <c r="K2471" i="4"/>
  <c r="J2471" i="4"/>
  <c r="H2471" i="4"/>
  <c r="I2471" i="4" s="1"/>
  <c r="K2470" i="4"/>
  <c r="J2470" i="4"/>
  <c r="H2470" i="4"/>
  <c r="I2470" i="4" s="1"/>
  <c r="K2469" i="4"/>
  <c r="J2469" i="4"/>
  <c r="H2469" i="4"/>
  <c r="I2469" i="4" s="1"/>
  <c r="K2468" i="4"/>
  <c r="J2468" i="4"/>
  <c r="H2468" i="4"/>
  <c r="I2468" i="4" s="1"/>
  <c r="K2467" i="4"/>
  <c r="J2467" i="4"/>
  <c r="H2467" i="4"/>
  <c r="I2467" i="4" s="1"/>
  <c r="K2466" i="4"/>
  <c r="J2466" i="4"/>
  <c r="H2466" i="4"/>
  <c r="I2466" i="4" s="1"/>
  <c r="K2465" i="4"/>
  <c r="J2465" i="4"/>
  <c r="H2465" i="4"/>
  <c r="I2465" i="4" s="1"/>
  <c r="K2464" i="4"/>
  <c r="J2464" i="4"/>
  <c r="H2464" i="4"/>
  <c r="I2464" i="4" s="1"/>
  <c r="K2463" i="4"/>
  <c r="J2463" i="4"/>
  <c r="H2463" i="4"/>
  <c r="I2463" i="4" s="1"/>
  <c r="K2462" i="4"/>
  <c r="J2462" i="4"/>
  <c r="H2462" i="4"/>
  <c r="I2462" i="4" s="1"/>
  <c r="K2461" i="4"/>
  <c r="J2461" i="4"/>
  <c r="H2461" i="4"/>
  <c r="I2461" i="4" s="1"/>
  <c r="K2460" i="4"/>
  <c r="J2460" i="4"/>
  <c r="H2460" i="4"/>
  <c r="I2460" i="4" s="1"/>
  <c r="K2459" i="4"/>
  <c r="J2459" i="4"/>
  <c r="H2459" i="4"/>
  <c r="I2459" i="4" s="1"/>
  <c r="K2458" i="4"/>
  <c r="J2458" i="4"/>
  <c r="H2458" i="4"/>
  <c r="I2458" i="4" s="1"/>
  <c r="K2457" i="4"/>
  <c r="J2457" i="4"/>
  <c r="H2457" i="4"/>
  <c r="I2457" i="4" s="1"/>
  <c r="K2456" i="4"/>
  <c r="J2456" i="4"/>
  <c r="H2456" i="4"/>
  <c r="I2456" i="4" s="1"/>
  <c r="K2455" i="4"/>
  <c r="J2455" i="4"/>
  <c r="H2455" i="4"/>
  <c r="I2455" i="4" s="1"/>
  <c r="K2454" i="4"/>
  <c r="J2454" i="4"/>
  <c r="H2454" i="4"/>
  <c r="I2454" i="4" s="1"/>
  <c r="K2453" i="4"/>
  <c r="J2453" i="4"/>
  <c r="H2453" i="4"/>
  <c r="I2453" i="4" s="1"/>
  <c r="K2452" i="4"/>
  <c r="J2452" i="4"/>
  <c r="H2452" i="4"/>
  <c r="I2452" i="4" s="1"/>
  <c r="K2451" i="4"/>
  <c r="J2451" i="4"/>
  <c r="H2451" i="4"/>
  <c r="I2451" i="4" s="1"/>
  <c r="K2450" i="4"/>
  <c r="J2450" i="4"/>
  <c r="H2450" i="4"/>
  <c r="I2450" i="4" s="1"/>
  <c r="K2449" i="4"/>
  <c r="J2449" i="4"/>
  <c r="H2449" i="4"/>
  <c r="I2449" i="4" s="1"/>
  <c r="K2448" i="4"/>
  <c r="J2448" i="4"/>
  <c r="H2448" i="4"/>
  <c r="I2448" i="4" s="1"/>
  <c r="K2447" i="4"/>
  <c r="J2447" i="4"/>
  <c r="H2447" i="4"/>
  <c r="I2447" i="4" s="1"/>
  <c r="K2446" i="4"/>
  <c r="J2446" i="4"/>
  <c r="H2446" i="4"/>
  <c r="I2446" i="4" s="1"/>
  <c r="K2445" i="4"/>
  <c r="J2445" i="4"/>
  <c r="H2445" i="4"/>
  <c r="I2445" i="4" s="1"/>
  <c r="K2444" i="4"/>
  <c r="J2444" i="4"/>
  <c r="H2444" i="4"/>
  <c r="I2444" i="4" s="1"/>
  <c r="K2443" i="4"/>
  <c r="J2443" i="4"/>
  <c r="H2443" i="4"/>
  <c r="I2443" i="4" s="1"/>
  <c r="K2442" i="4"/>
  <c r="J2442" i="4"/>
  <c r="H2442" i="4"/>
  <c r="I2442" i="4" s="1"/>
  <c r="K2441" i="4"/>
  <c r="J2441" i="4"/>
  <c r="H2441" i="4"/>
  <c r="I2441" i="4" s="1"/>
  <c r="K2440" i="4"/>
  <c r="J2440" i="4"/>
  <c r="H2440" i="4"/>
  <c r="I2440" i="4" s="1"/>
  <c r="K2439" i="4"/>
  <c r="J2439" i="4"/>
  <c r="H2439" i="4"/>
  <c r="I2439" i="4" s="1"/>
  <c r="K2438" i="4"/>
  <c r="J2438" i="4"/>
  <c r="H2438" i="4"/>
  <c r="I2438" i="4" s="1"/>
  <c r="K2437" i="4"/>
  <c r="J2437" i="4"/>
  <c r="H2437" i="4"/>
  <c r="I2437" i="4" s="1"/>
  <c r="K2436" i="4"/>
  <c r="J2436" i="4"/>
  <c r="H2436" i="4"/>
  <c r="I2436" i="4" s="1"/>
  <c r="K2435" i="4"/>
  <c r="J2435" i="4"/>
  <c r="H2435" i="4"/>
  <c r="I2435" i="4" s="1"/>
  <c r="K2434" i="4"/>
  <c r="J2434" i="4"/>
  <c r="H2434" i="4"/>
  <c r="I2434" i="4" s="1"/>
  <c r="K2433" i="4"/>
  <c r="J2433" i="4"/>
  <c r="H2433" i="4"/>
  <c r="I2433" i="4" s="1"/>
  <c r="K2432" i="4"/>
  <c r="J2432" i="4"/>
  <c r="H2432" i="4"/>
  <c r="I2432" i="4" s="1"/>
  <c r="K2431" i="4"/>
  <c r="J2431" i="4"/>
  <c r="H2431" i="4"/>
  <c r="I2431" i="4" s="1"/>
  <c r="K2430" i="4"/>
  <c r="J2430" i="4"/>
  <c r="H2430" i="4"/>
  <c r="I2430" i="4" s="1"/>
  <c r="K2429" i="4"/>
  <c r="J2429" i="4"/>
  <c r="H2429" i="4"/>
  <c r="I2429" i="4" s="1"/>
  <c r="K2428" i="4"/>
  <c r="J2428" i="4"/>
  <c r="H2428" i="4"/>
  <c r="I2428" i="4" s="1"/>
  <c r="K2427" i="4"/>
  <c r="J2427" i="4"/>
  <c r="H2427" i="4"/>
  <c r="I2427" i="4" s="1"/>
  <c r="K2426" i="4"/>
  <c r="J2426" i="4"/>
  <c r="H2426" i="4"/>
  <c r="I2426" i="4" s="1"/>
  <c r="K2425" i="4"/>
  <c r="J2425" i="4"/>
  <c r="H2425" i="4"/>
  <c r="I2425" i="4" s="1"/>
  <c r="K2424" i="4"/>
  <c r="J2424" i="4"/>
  <c r="H2424" i="4"/>
  <c r="I2424" i="4" s="1"/>
  <c r="K2423" i="4"/>
  <c r="J2423" i="4"/>
  <c r="H2423" i="4"/>
  <c r="I2423" i="4" s="1"/>
  <c r="K2422" i="4"/>
  <c r="J2422" i="4"/>
  <c r="H2422" i="4"/>
  <c r="I2422" i="4" s="1"/>
  <c r="K2421" i="4"/>
  <c r="J2421" i="4"/>
  <c r="H2421" i="4"/>
  <c r="I2421" i="4" s="1"/>
  <c r="K2420" i="4"/>
  <c r="J2420" i="4"/>
  <c r="H2420" i="4"/>
  <c r="I2420" i="4" s="1"/>
  <c r="K2419" i="4"/>
  <c r="J2419" i="4"/>
  <c r="H2419" i="4"/>
  <c r="I2419" i="4" s="1"/>
  <c r="K2418" i="4"/>
  <c r="J2418" i="4"/>
  <c r="H2418" i="4"/>
  <c r="I2418" i="4" s="1"/>
  <c r="K2417" i="4"/>
  <c r="J2417" i="4"/>
  <c r="H2417" i="4"/>
  <c r="I2417" i="4" s="1"/>
  <c r="K2416" i="4"/>
  <c r="J2416" i="4"/>
  <c r="H2416" i="4"/>
  <c r="I2416" i="4" s="1"/>
  <c r="K2415" i="4"/>
  <c r="J2415" i="4"/>
  <c r="H2415" i="4"/>
  <c r="I2415" i="4" s="1"/>
  <c r="K2414" i="4"/>
  <c r="J2414" i="4"/>
  <c r="H2414" i="4"/>
  <c r="I2414" i="4" s="1"/>
  <c r="K2413" i="4"/>
  <c r="J2413" i="4"/>
  <c r="H2413" i="4"/>
  <c r="I2413" i="4" s="1"/>
  <c r="K2412" i="4"/>
  <c r="J2412" i="4"/>
  <c r="H2412" i="4"/>
  <c r="I2412" i="4" s="1"/>
  <c r="K2411" i="4"/>
  <c r="J2411" i="4"/>
  <c r="H2411" i="4"/>
  <c r="I2411" i="4" s="1"/>
  <c r="K2410" i="4"/>
  <c r="J2410" i="4"/>
  <c r="H2410" i="4"/>
  <c r="I2410" i="4" s="1"/>
  <c r="K2409" i="4"/>
  <c r="J2409" i="4"/>
  <c r="H2409" i="4"/>
  <c r="I2409" i="4" s="1"/>
  <c r="K2408" i="4"/>
  <c r="J2408" i="4"/>
  <c r="H2408" i="4"/>
  <c r="I2408" i="4" s="1"/>
  <c r="K2407" i="4"/>
  <c r="J2407" i="4"/>
  <c r="H2407" i="4"/>
  <c r="I2407" i="4" s="1"/>
  <c r="K2406" i="4"/>
  <c r="J2406" i="4"/>
  <c r="H2406" i="4"/>
  <c r="I2406" i="4" s="1"/>
  <c r="K2405" i="4"/>
  <c r="J2405" i="4"/>
  <c r="H2405" i="4"/>
  <c r="I2405" i="4" s="1"/>
  <c r="K2404" i="4"/>
  <c r="J2404" i="4"/>
  <c r="H2404" i="4"/>
  <c r="I2404" i="4" s="1"/>
  <c r="K2403" i="4"/>
  <c r="J2403" i="4"/>
  <c r="H2403" i="4"/>
  <c r="I2403" i="4" s="1"/>
  <c r="K2402" i="4"/>
  <c r="J2402" i="4"/>
  <c r="H2402" i="4"/>
  <c r="I2402" i="4" s="1"/>
  <c r="K2401" i="4"/>
  <c r="J2401" i="4"/>
  <c r="H2401" i="4"/>
  <c r="I2401" i="4" s="1"/>
  <c r="K2400" i="4"/>
  <c r="J2400" i="4"/>
  <c r="H2400" i="4"/>
  <c r="I2400" i="4" s="1"/>
  <c r="K2399" i="4"/>
  <c r="J2399" i="4"/>
  <c r="H2399" i="4"/>
  <c r="I2399" i="4" s="1"/>
  <c r="K2398" i="4"/>
  <c r="J2398" i="4"/>
  <c r="H2398" i="4"/>
  <c r="I2398" i="4" s="1"/>
  <c r="K2397" i="4"/>
  <c r="J2397" i="4"/>
  <c r="H2397" i="4"/>
  <c r="I2397" i="4" s="1"/>
  <c r="K2396" i="4"/>
  <c r="J2396" i="4"/>
  <c r="H2396" i="4"/>
  <c r="I2396" i="4" s="1"/>
  <c r="K2395" i="4"/>
  <c r="J2395" i="4"/>
  <c r="H2395" i="4"/>
  <c r="I2395" i="4" s="1"/>
  <c r="K2394" i="4"/>
  <c r="J2394" i="4"/>
  <c r="H2394" i="4"/>
  <c r="I2394" i="4" s="1"/>
  <c r="K2393" i="4"/>
  <c r="J2393" i="4"/>
  <c r="H2393" i="4"/>
  <c r="I2393" i="4" s="1"/>
  <c r="K2392" i="4"/>
  <c r="J2392" i="4"/>
  <c r="H2392" i="4"/>
  <c r="I2392" i="4" s="1"/>
  <c r="K2391" i="4"/>
  <c r="J2391" i="4"/>
  <c r="H2391" i="4"/>
  <c r="I2391" i="4" s="1"/>
  <c r="K2390" i="4"/>
  <c r="J2390" i="4"/>
  <c r="H2390" i="4"/>
  <c r="I2390" i="4" s="1"/>
  <c r="K2389" i="4"/>
  <c r="J2389" i="4"/>
  <c r="H2389" i="4"/>
  <c r="I2389" i="4" s="1"/>
  <c r="K2388" i="4"/>
  <c r="J2388" i="4"/>
  <c r="H2388" i="4"/>
  <c r="I2388" i="4" s="1"/>
  <c r="K2387" i="4"/>
  <c r="J2387" i="4"/>
  <c r="H2387" i="4"/>
  <c r="I2387" i="4" s="1"/>
  <c r="K2386" i="4"/>
  <c r="J2386" i="4"/>
  <c r="H2386" i="4"/>
  <c r="I2386" i="4" s="1"/>
  <c r="K2385" i="4"/>
  <c r="J2385" i="4"/>
  <c r="H2385" i="4"/>
  <c r="I2385" i="4" s="1"/>
  <c r="K2384" i="4"/>
  <c r="J2384" i="4"/>
  <c r="H2384" i="4"/>
  <c r="I2384" i="4" s="1"/>
  <c r="K2383" i="4"/>
  <c r="J2383" i="4"/>
  <c r="H2383" i="4"/>
  <c r="I2383" i="4" s="1"/>
  <c r="K2382" i="4"/>
  <c r="J2382" i="4"/>
  <c r="H2382" i="4"/>
  <c r="I2382" i="4" s="1"/>
  <c r="K2381" i="4"/>
  <c r="J2381" i="4"/>
  <c r="H2381" i="4"/>
  <c r="I2381" i="4" s="1"/>
  <c r="K2380" i="4"/>
  <c r="J2380" i="4"/>
  <c r="H2380" i="4"/>
  <c r="I2380" i="4" s="1"/>
  <c r="K2379" i="4"/>
  <c r="J2379" i="4"/>
  <c r="H2379" i="4"/>
  <c r="I2379" i="4" s="1"/>
  <c r="K2378" i="4"/>
  <c r="J2378" i="4"/>
  <c r="H2378" i="4"/>
  <c r="I2378" i="4" s="1"/>
  <c r="K2377" i="4"/>
  <c r="J2377" i="4"/>
  <c r="H2377" i="4"/>
  <c r="I2377" i="4" s="1"/>
  <c r="K2376" i="4"/>
  <c r="J2376" i="4"/>
  <c r="H2376" i="4"/>
  <c r="I2376" i="4" s="1"/>
  <c r="K2375" i="4"/>
  <c r="J2375" i="4"/>
  <c r="H2375" i="4"/>
  <c r="I2375" i="4" s="1"/>
  <c r="K2374" i="4"/>
  <c r="J2374" i="4"/>
  <c r="H2374" i="4"/>
  <c r="I2374" i="4" s="1"/>
  <c r="K2373" i="4"/>
  <c r="J2373" i="4"/>
  <c r="H2373" i="4"/>
  <c r="I2373" i="4" s="1"/>
  <c r="K2372" i="4"/>
  <c r="J2372" i="4"/>
  <c r="H2372" i="4"/>
  <c r="I2372" i="4" s="1"/>
  <c r="K2371" i="4"/>
  <c r="J2371" i="4"/>
  <c r="H2371" i="4"/>
  <c r="I2371" i="4" s="1"/>
  <c r="K2370" i="4"/>
  <c r="J2370" i="4"/>
  <c r="H2370" i="4"/>
  <c r="I2370" i="4" s="1"/>
  <c r="K2369" i="4"/>
  <c r="J2369" i="4"/>
  <c r="H2369" i="4"/>
  <c r="I2369" i="4" s="1"/>
  <c r="K2368" i="4"/>
  <c r="J2368" i="4"/>
  <c r="H2368" i="4"/>
  <c r="I2368" i="4" s="1"/>
  <c r="K2367" i="4"/>
  <c r="J2367" i="4"/>
  <c r="H2367" i="4"/>
  <c r="I2367" i="4" s="1"/>
  <c r="K2366" i="4"/>
  <c r="J2366" i="4"/>
  <c r="H2366" i="4"/>
  <c r="I2366" i="4" s="1"/>
  <c r="K2365" i="4"/>
  <c r="J2365" i="4"/>
  <c r="H2365" i="4"/>
  <c r="I2365" i="4" s="1"/>
  <c r="K2364" i="4"/>
  <c r="J2364" i="4"/>
  <c r="H2364" i="4"/>
  <c r="I2364" i="4" s="1"/>
  <c r="K2363" i="4"/>
  <c r="J2363" i="4"/>
  <c r="H2363" i="4"/>
  <c r="I2363" i="4" s="1"/>
  <c r="K2362" i="4"/>
  <c r="J2362" i="4"/>
  <c r="H2362" i="4"/>
  <c r="I2362" i="4" s="1"/>
  <c r="K2361" i="4"/>
  <c r="J2361" i="4"/>
  <c r="H2361" i="4"/>
  <c r="I2361" i="4" s="1"/>
  <c r="K2360" i="4"/>
  <c r="J2360" i="4"/>
  <c r="H2360" i="4"/>
  <c r="I2360" i="4" s="1"/>
  <c r="K2359" i="4"/>
  <c r="J2359" i="4"/>
  <c r="H2359" i="4"/>
  <c r="I2359" i="4" s="1"/>
  <c r="K2358" i="4"/>
  <c r="J2358" i="4"/>
  <c r="H2358" i="4"/>
  <c r="I2358" i="4" s="1"/>
  <c r="K2357" i="4"/>
  <c r="J2357" i="4"/>
  <c r="H2357" i="4"/>
  <c r="I2357" i="4" s="1"/>
  <c r="K2356" i="4"/>
  <c r="J2356" i="4"/>
  <c r="H2356" i="4"/>
  <c r="I2356" i="4" s="1"/>
  <c r="K2355" i="4"/>
  <c r="J2355" i="4"/>
  <c r="H2355" i="4"/>
  <c r="I2355" i="4" s="1"/>
  <c r="K2354" i="4"/>
  <c r="J2354" i="4"/>
  <c r="H2354" i="4"/>
  <c r="I2354" i="4" s="1"/>
  <c r="K2353" i="4"/>
  <c r="J2353" i="4"/>
  <c r="H2353" i="4"/>
  <c r="I2353" i="4" s="1"/>
  <c r="K2352" i="4"/>
  <c r="J2352" i="4"/>
  <c r="H2352" i="4"/>
  <c r="I2352" i="4" s="1"/>
  <c r="K2351" i="4"/>
  <c r="J2351" i="4"/>
  <c r="H2351" i="4"/>
  <c r="I2351" i="4" s="1"/>
  <c r="K2350" i="4"/>
  <c r="J2350" i="4"/>
  <c r="H2350" i="4"/>
  <c r="I2350" i="4" s="1"/>
  <c r="K2349" i="4"/>
  <c r="J2349" i="4"/>
  <c r="H2349" i="4"/>
  <c r="I2349" i="4" s="1"/>
  <c r="K2348" i="4"/>
  <c r="J2348" i="4"/>
  <c r="H2348" i="4"/>
  <c r="I2348" i="4" s="1"/>
  <c r="K2347" i="4"/>
  <c r="J2347" i="4"/>
  <c r="H2347" i="4"/>
  <c r="I2347" i="4" s="1"/>
  <c r="K2346" i="4"/>
  <c r="J2346" i="4"/>
  <c r="H2346" i="4"/>
  <c r="I2346" i="4" s="1"/>
  <c r="K2345" i="4"/>
  <c r="J2345" i="4"/>
  <c r="H2345" i="4"/>
  <c r="I2345" i="4" s="1"/>
  <c r="K2344" i="4"/>
  <c r="J2344" i="4"/>
  <c r="H2344" i="4"/>
  <c r="I2344" i="4" s="1"/>
  <c r="K2343" i="4"/>
  <c r="J2343" i="4"/>
  <c r="H2343" i="4"/>
  <c r="I2343" i="4" s="1"/>
  <c r="K2342" i="4"/>
  <c r="J2342" i="4"/>
  <c r="H2342" i="4"/>
  <c r="I2342" i="4" s="1"/>
  <c r="K2341" i="4"/>
  <c r="J2341" i="4"/>
  <c r="H2341" i="4"/>
  <c r="I2341" i="4" s="1"/>
  <c r="K2340" i="4"/>
  <c r="J2340" i="4"/>
  <c r="H2340" i="4"/>
  <c r="I2340" i="4" s="1"/>
  <c r="K2339" i="4"/>
  <c r="J2339" i="4"/>
  <c r="H2339" i="4"/>
  <c r="I2339" i="4" s="1"/>
  <c r="K2338" i="4"/>
  <c r="J2338" i="4"/>
  <c r="H2338" i="4"/>
  <c r="I2338" i="4" s="1"/>
  <c r="K2337" i="4"/>
  <c r="J2337" i="4"/>
  <c r="H2337" i="4"/>
  <c r="I2337" i="4" s="1"/>
  <c r="K2336" i="4"/>
  <c r="J2336" i="4"/>
  <c r="H2336" i="4"/>
  <c r="I2336" i="4" s="1"/>
  <c r="K2335" i="4"/>
  <c r="J2335" i="4"/>
  <c r="H2335" i="4"/>
  <c r="I2335" i="4" s="1"/>
  <c r="K2334" i="4"/>
  <c r="J2334" i="4"/>
  <c r="H2334" i="4"/>
  <c r="I2334" i="4" s="1"/>
  <c r="K2333" i="4"/>
  <c r="J2333" i="4"/>
  <c r="H2333" i="4"/>
  <c r="I2333" i="4" s="1"/>
  <c r="K2332" i="4"/>
  <c r="J2332" i="4"/>
  <c r="H2332" i="4"/>
  <c r="I2332" i="4" s="1"/>
  <c r="K2331" i="4"/>
  <c r="J2331" i="4"/>
  <c r="H2331" i="4"/>
  <c r="I2331" i="4" s="1"/>
  <c r="K2330" i="4"/>
  <c r="J2330" i="4"/>
  <c r="H2330" i="4"/>
  <c r="I2330" i="4" s="1"/>
  <c r="K2329" i="4"/>
  <c r="J2329" i="4"/>
  <c r="H2329" i="4"/>
  <c r="I2329" i="4" s="1"/>
  <c r="K2328" i="4"/>
  <c r="J2328" i="4"/>
  <c r="H2328" i="4"/>
  <c r="I2328" i="4" s="1"/>
  <c r="K2327" i="4"/>
  <c r="J2327" i="4"/>
  <c r="H2327" i="4"/>
  <c r="I2327" i="4" s="1"/>
  <c r="K2326" i="4"/>
  <c r="J2326" i="4"/>
  <c r="H2326" i="4"/>
  <c r="I2326" i="4" s="1"/>
  <c r="K2325" i="4"/>
  <c r="J2325" i="4"/>
  <c r="H2325" i="4"/>
  <c r="I2325" i="4" s="1"/>
  <c r="K2324" i="4"/>
  <c r="J2324" i="4"/>
  <c r="H2324" i="4"/>
  <c r="I2324" i="4" s="1"/>
  <c r="K2323" i="4"/>
  <c r="J2323" i="4"/>
  <c r="H2323" i="4"/>
  <c r="I2323" i="4" s="1"/>
  <c r="K2322" i="4"/>
  <c r="J2322" i="4"/>
  <c r="H2322" i="4"/>
  <c r="I2322" i="4" s="1"/>
  <c r="K2321" i="4"/>
  <c r="J2321" i="4"/>
  <c r="H2321" i="4"/>
  <c r="I2321" i="4" s="1"/>
  <c r="K2320" i="4"/>
  <c r="J2320" i="4"/>
  <c r="H2320" i="4"/>
  <c r="I2320" i="4" s="1"/>
  <c r="K2319" i="4"/>
  <c r="J2319" i="4"/>
  <c r="H2319" i="4"/>
  <c r="I2319" i="4" s="1"/>
  <c r="K2318" i="4"/>
  <c r="J2318" i="4"/>
  <c r="H2318" i="4"/>
  <c r="I2318" i="4" s="1"/>
  <c r="K2317" i="4"/>
  <c r="J2317" i="4"/>
  <c r="H2317" i="4"/>
  <c r="I2317" i="4" s="1"/>
  <c r="K2316" i="4"/>
  <c r="J2316" i="4"/>
  <c r="H2316" i="4"/>
  <c r="I2316" i="4" s="1"/>
  <c r="K2315" i="4"/>
  <c r="J2315" i="4"/>
  <c r="H2315" i="4"/>
  <c r="I2315" i="4" s="1"/>
  <c r="K2314" i="4"/>
  <c r="J2314" i="4"/>
  <c r="H2314" i="4"/>
  <c r="I2314" i="4" s="1"/>
  <c r="K2313" i="4"/>
  <c r="J2313" i="4"/>
  <c r="H2313" i="4"/>
  <c r="I2313" i="4" s="1"/>
  <c r="K2312" i="4"/>
  <c r="J2312" i="4"/>
  <c r="H2312" i="4"/>
  <c r="I2312" i="4" s="1"/>
  <c r="K2311" i="4"/>
  <c r="J2311" i="4"/>
  <c r="H2311" i="4"/>
  <c r="I2311" i="4" s="1"/>
  <c r="K2310" i="4"/>
  <c r="J2310" i="4"/>
  <c r="H2310" i="4"/>
  <c r="I2310" i="4" s="1"/>
  <c r="K2309" i="4"/>
  <c r="J2309" i="4"/>
  <c r="H2309" i="4"/>
  <c r="I2309" i="4" s="1"/>
  <c r="K2308" i="4"/>
  <c r="J2308" i="4"/>
  <c r="H2308" i="4"/>
  <c r="I2308" i="4" s="1"/>
  <c r="K2307" i="4"/>
  <c r="J2307" i="4"/>
  <c r="H2307" i="4"/>
  <c r="I2307" i="4" s="1"/>
  <c r="K2306" i="4"/>
  <c r="J2306" i="4"/>
  <c r="H2306" i="4"/>
  <c r="I2306" i="4" s="1"/>
  <c r="K2305" i="4"/>
  <c r="J2305" i="4"/>
  <c r="H2305" i="4"/>
  <c r="I2305" i="4" s="1"/>
  <c r="K2304" i="4"/>
  <c r="J2304" i="4"/>
  <c r="H2304" i="4"/>
  <c r="I2304" i="4" s="1"/>
  <c r="K2303" i="4"/>
  <c r="J2303" i="4"/>
  <c r="H2303" i="4"/>
  <c r="I2303" i="4" s="1"/>
  <c r="K2302" i="4"/>
  <c r="J2302" i="4"/>
  <c r="H2302" i="4"/>
  <c r="I2302" i="4" s="1"/>
  <c r="K2301" i="4"/>
  <c r="J2301" i="4"/>
  <c r="H2301" i="4"/>
  <c r="I2301" i="4" s="1"/>
  <c r="K2300" i="4"/>
  <c r="J2300" i="4"/>
  <c r="H2300" i="4"/>
  <c r="I2300" i="4" s="1"/>
  <c r="K2299" i="4"/>
  <c r="J2299" i="4"/>
  <c r="H2299" i="4"/>
  <c r="I2299" i="4" s="1"/>
  <c r="K2298" i="4"/>
  <c r="J2298" i="4"/>
  <c r="H2298" i="4"/>
  <c r="I2298" i="4" s="1"/>
  <c r="K2297" i="4"/>
  <c r="J2297" i="4"/>
  <c r="H2297" i="4"/>
  <c r="I2297" i="4" s="1"/>
  <c r="K2296" i="4"/>
  <c r="J2296" i="4"/>
  <c r="H2296" i="4"/>
  <c r="I2296" i="4" s="1"/>
  <c r="K2295" i="4"/>
  <c r="J2295" i="4"/>
  <c r="H2295" i="4"/>
  <c r="I2295" i="4" s="1"/>
  <c r="K2294" i="4"/>
  <c r="J2294" i="4"/>
  <c r="H2294" i="4"/>
  <c r="I2294" i="4" s="1"/>
  <c r="K2293" i="4"/>
  <c r="J2293" i="4"/>
  <c r="H2293" i="4"/>
  <c r="I2293" i="4" s="1"/>
  <c r="K2292" i="4"/>
  <c r="J2292" i="4"/>
  <c r="H2292" i="4"/>
  <c r="I2292" i="4" s="1"/>
  <c r="K2291" i="4"/>
  <c r="J2291" i="4"/>
  <c r="H2291" i="4"/>
  <c r="I2291" i="4" s="1"/>
  <c r="K2290" i="4"/>
  <c r="J2290" i="4"/>
  <c r="H2290" i="4"/>
  <c r="I2290" i="4" s="1"/>
  <c r="K2289" i="4"/>
  <c r="J2289" i="4"/>
  <c r="H2289" i="4"/>
  <c r="I2289" i="4" s="1"/>
  <c r="K2288" i="4"/>
  <c r="J2288" i="4"/>
  <c r="H2288" i="4"/>
  <c r="I2288" i="4" s="1"/>
  <c r="K2287" i="4"/>
  <c r="J2287" i="4"/>
  <c r="H2287" i="4"/>
  <c r="I2287" i="4" s="1"/>
  <c r="K2286" i="4"/>
  <c r="J2286" i="4"/>
  <c r="H2286" i="4"/>
  <c r="I2286" i="4" s="1"/>
  <c r="K2285" i="4"/>
  <c r="J2285" i="4"/>
  <c r="H2285" i="4"/>
  <c r="I2285" i="4" s="1"/>
  <c r="K2284" i="4"/>
  <c r="J2284" i="4"/>
  <c r="H2284" i="4"/>
  <c r="I2284" i="4" s="1"/>
  <c r="K2283" i="4"/>
  <c r="J2283" i="4"/>
  <c r="H2283" i="4"/>
  <c r="I2283" i="4" s="1"/>
  <c r="K2282" i="4"/>
  <c r="J2282" i="4"/>
  <c r="H2282" i="4"/>
  <c r="I2282" i="4" s="1"/>
  <c r="K2281" i="4"/>
  <c r="J2281" i="4"/>
  <c r="H2281" i="4"/>
  <c r="I2281" i="4" s="1"/>
  <c r="K2280" i="4"/>
  <c r="J2280" i="4"/>
  <c r="H2280" i="4"/>
  <c r="I2280" i="4" s="1"/>
  <c r="K2279" i="4"/>
  <c r="J2279" i="4"/>
  <c r="H2279" i="4"/>
  <c r="I2279" i="4" s="1"/>
  <c r="K2278" i="4"/>
  <c r="J2278" i="4"/>
  <c r="H2278" i="4"/>
  <c r="I2278" i="4" s="1"/>
  <c r="K2277" i="4"/>
  <c r="J2277" i="4"/>
  <c r="H2277" i="4"/>
  <c r="I2277" i="4" s="1"/>
  <c r="K2276" i="4"/>
  <c r="J2276" i="4"/>
  <c r="H2276" i="4"/>
  <c r="I2276" i="4" s="1"/>
  <c r="K2275" i="4"/>
  <c r="J2275" i="4"/>
  <c r="H2275" i="4"/>
  <c r="I2275" i="4" s="1"/>
  <c r="K2274" i="4"/>
  <c r="J2274" i="4"/>
  <c r="H2274" i="4"/>
  <c r="I2274" i="4" s="1"/>
  <c r="K2273" i="4"/>
  <c r="J2273" i="4"/>
  <c r="H2273" i="4"/>
  <c r="I2273" i="4" s="1"/>
  <c r="K2272" i="4"/>
  <c r="J2272" i="4"/>
  <c r="H2272" i="4"/>
  <c r="I2272" i="4" s="1"/>
  <c r="K2271" i="4"/>
  <c r="J2271" i="4"/>
  <c r="H2271" i="4"/>
  <c r="I2271" i="4" s="1"/>
  <c r="K2270" i="4"/>
  <c r="J2270" i="4"/>
  <c r="H2270" i="4"/>
  <c r="I2270" i="4" s="1"/>
  <c r="K2269" i="4"/>
  <c r="J2269" i="4"/>
  <c r="H2269" i="4"/>
  <c r="I2269" i="4" s="1"/>
  <c r="K2268" i="4"/>
  <c r="J2268" i="4"/>
  <c r="H2268" i="4"/>
  <c r="I2268" i="4" s="1"/>
  <c r="K2267" i="4"/>
  <c r="J2267" i="4"/>
  <c r="H2267" i="4"/>
  <c r="I2267" i="4" s="1"/>
  <c r="K2266" i="4"/>
  <c r="J2266" i="4"/>
  <c r="H2266" i="4"/>
  <c r="I2266" i="4" s="1"/>
  <c r="K2265" i="4"/>
  <c r="J2265" i="4"/>
  <c r="H2265" i="4"/>
  <c r="I2265" i="4" s="1"/>
  <c r="K2264" i="4"/>
  <c r="J2264" i="4"/>
  <c r="H2264" i="4"/>
  <c r="I2264" i="4" s="1"/>
  <c r="K2263" i="4"/>
  <c r="J2263" i="4"/>
  <c r="H2263" i="4"/>
  <c r="I2263" i="4" s="1"/>
  <c r="K2262" i="4"/>
  <c r="J2262" i="4"/>
  <c r="H2262" i="4"/>
  <c r="I2262" i="4" s="1"/>
  <c r="K2261" i="4"/>
  <c r="J2261" i="4"/>
  <c r="H2261" i="4"/>
  <c r="I2261" i="4" s="1"/>
  <c r="K2260" i="4"/>
  <c r="J2260" i="4"/>
  <c r="H2260" i="4"/>
  <c r="I2260" i="4" s="1"/>
  <c r="K2259" i="4"/>
  <c r="J2259" i="4"/>
  <c r="H2259" i="4"/>
  <c r="I2259" i="4" s="1"/>
  <c r="K2258" i="4"/>
  <c r="J2258" i="4"/>
  <c r="H2258" i="4"/>
  <c r="I2258" i="4" s="1"/>
  <c r="K2257" i="4"/>
  <c r="J2257" i="4"/>
  <c r="H2257" i="4"/>
  <c r="I2257" i="4" s="1"/>
  <c r="K2256" i="4"/>
  <c r="J2256" i="4"/>
  <c r="H2256" i="4"/>
  <c r="I2256" i="4" s="1"/>
  <c r="K2255" i="4"/>
  <c r="J2255" i="4"/>
  <c r="H2255" i="4"/>
  <c r="I2255" i="4" s="1"/>
  <c r="K2254" i="4"/>
  <c r="J2254" i="4"/>
  <c r="H2254" i="4"/>
  <c r="I2254" i="4" s="1"/>
  <c r="K2253" i="4"/>
  <c r="J2253" i="4"/>
  <c r="H2253" i="4"/>
  <c r="I2253" i="4" s="1"/>
  <c r="K2252" i="4"/>
  <c r="J2252" i="4"/>
  <c r="H2252" i="4"/>
  <c r="I2252" i="4" s="1"/>
  <c r="K2251" i="4"/>
  <c r="J2251" i="4"/>
  <c r="H2251" i="4"/>
  <c r="I2251" i="4" s="1"/>
  <c r="K2250" i="4"/>
  <c r="J2250" i="4"/>
  <c r="H2250" i="4"/>
  <c r="I2250" i="4" s="1"/>
  <c r="K2249" i="4"/>
  <c r="J2249" i="4"/>
  <c r="H2249" i="4"/>
  <c r="I2249" i="4" s="1"/>
  <c r="K2248" i="4"/>
  <c r="J2248" i="4"/>
  <c r="H2248" i="4"/>
  <c r="I2248" i="4" s="1"/>
  <c r="K2247" i="4"/>
  <c r="J2247" i="4"/>
  <c r="H2247" i="4"/>
  <c r="I2247" i="4" s="1"/>
  <c r="K2246" i="4"/>
  <c r="J2246" i="4"/>
  <c r="H2246" i="4"/>
  <c r="I2246" i="4" s="1"/>
  <c r="K2245" i="4"/>
  <c r="J2245" i="4"/>
  <c r="H2245" i="4"/>
  <c r="I2245" i="4" s="1"/>
  <c r="K2244" i="4"/>
  <c r="J2244" i="4"/>
  <c r="H2244" i="4"/>
  <c r="I2244" i="4" s="1"/>
  <c r="K2243" i="4"/>
  <c r="J2243" i="4"/>
  <c r="H2243" i="4"/>
  <c r="I2243" i="4" s="1"/>
  <c r="K2242" i="4"/>
  <c r="J2242" i="4"/>
  <c r="H2242" i="4"/>
  <c r="I2242" i="4" s="1"/>
  <c r="K2241" i="4"/>
  <c r="J2241" i="4"/>
  <c r="H2241" i="4"/>
  <c r="I2241" i="4" s="1"/>
  <c r="K2240" i="4"/>
  <c r="J2240" i="4"/>
  <c r="H2240" i="4"/>
  <c r="I2240" i="4" s="1"/>
  <c r="K2239" i="4"/>
  <c r="J2239" i="4"/>
  <c r="H2239" i="4"/>
  <c r="I2239" i="4" s="1"/>
  <c r="K2238" i="4"/>
  <c r="J2238" i="4"/>
  <c r="H2238" i="4"/>
  <c r="I2238" i="4" s="1"/>
  <c r="K2237" i="4"/>
  <c r="J2237" i="4"/>
  <c r="H2237" i="4"/>
  <c r="I2237" i="4" s="1"/>
  <c r="K2236" i="4"/>
  <c r="J2236" i="4"/>
  <c r="H2236" i="4"/>
  <c r="I2236" i="4" s="1"/>
  <c r="K2235" i="4"/>
  <c r="J2235" i="4"/>
  <c r="H2235" i="4"/>
  <c r="I2235" i="4" s="1"/>
  <c r="K2234" i="4"/>
  <c r="J2234" i="4"/>
  <c r="H2234" i="4"/>
  <c r="I2234" i="4" s="1"/>
  <c r="K2233" i="4"/>
  <c r="J2233" i="4"/>
  <c r="H2233" i="4"/>
  <c r="I2233" i="4" s="1"/>
  <c r="K2232" i="4"/>
  <c r="J2232" i="4"/>
  <c r="H2232" i="4"/>
  <c r="I2232" i="4" s="1"/>
  <c r="K2231" i="4"/>
  <c r="J2231" i="4"/>
  <c r="H2231" i="4"/>
  <c r="I2231" i="4" s="1"/>
  <c r="K2230" i="4"/>
  <c r="J2230" i="4"/>
  <c r="H2230" i="4"/>
  <c r="I2230" i="4" s="1"/>
  <c r="K2229" i="4"/>
  <c r="J2229" i="4"/>
  <c r="H2229" i="4"/>
  <c r="I2229" i="4" s="1"/>
  <c r="K2228" i="4"/>
  <c r="J2228" i="4"/>
  <c r="H2228" i="4"/>
  <c r="I2228" i="4" s="1"/>
  <c r="K2227" i="4"/>
  <c r="J2227" i="4"/>
  <c r="H2227" i="4"/>
  <c r="I2227" i="4" s="1"/>
  <c r="K2226" i="4"/>
  <c r="J2226" i="4"/>
  <c r="H2226" i="4"/>
  <c r="I2226" i="4" s="1"/>
  <c r="K2225" i="4"/>
  <c r="J2225" i="4"/>
  <c r="H2225" i="4"/>
  <c r="I2225" i="4" s="1"/>
  <c r="K2224" i="4"/>
  <c r="J2224" i="4"/>
  <c r="H2224" i="4"/>
  <c r="I2224" i="4" s="1"/>
  <c r="K2223" i="4"/>
  <c r="J2223" i="4"/>
  <c r="H2223" i="4"/>
  <c r="I2223" i="4" s="1"/>
  <c r="K2222" i="4"/>
  <c r="J2222" i="4"/>
  <c r="H2222" i="4"/>
  <c r="I2222" i="4" s="1"/>
  <c r="K2221" i="4"/>
  <c r="J2221" i="4"/>
  <c r="H2221" i="4"/>
  <c r="I2221" i="4" s="1"/>
  <c r="K2220" i="4"/>
  <c r="J2220" i="4"/>
  <c r="H2220" i="4"/>
  <c r="I2220" i="4" s="1"/>
  <c r="K2219" i="4"/>
  <c r="J2219" i="4"/>
  <c r="H2219" i="4"/>
  <c r="I2219" i="4" s="1"/>
  <c r="K2218" i="4"/>
  <c r="J2218" i="4"/>
  <c r="H2218" i="4"/>
  <c r="I2218" i="4" s="1"/>
  <c r="K2217" i="4"/>
  <c r="J2217" i="4"/>
  <c r="H2217" i="4"/>
  <c r="I2217" i="4" s="1"/>
  <c r="K2216" i="4"/>
  <c r="J2216" i="4"/>
  <c r="H2216" i="4"/>
  <c r="I2216" i="4" s="1"/>
  <c r="K2215" i="4"/>
  <c r="J2215" i="4"/>
  <c r="H2215" i="4"/>
  <c r="I2215" i="4" s="1"/>
  <c r="K2214" i="4"/>
  <c r="J2214" i="4"/>
  <c r="H2214" i="4"/>
  <c r="I2214" i="4" s="1"/>
  <c r="K2213" i="4"/>
  <c r="J2213" i="4"/>
  <c r="H2213" i="4"/>
  <c r="I2213" i="4" s="1"/>
  <c r="K2212" i="4"/>
  <c r="J2212" i="4"/>
  <c r="H2212" i="4"/>
  <c r="I2212" i="4" s="1"/>
  <c r="K2211" i="4"/>
  <c r="J2211" i="4"/>
  <c r="H2211" i="4"/>
  <c r="I2211" i="4" s="1"/>
  <c r="K2210" i="4"/>
  <c r="J2210" i="4"/>
  <c r="H2210" i="4"/>
  <c r="I2210" i="4" s="1"/>
  <c r="K2209" i="4"/>
  <c r="J2209" i="4"/>
  <c r="H2209" i="4"/>
  <c r="I2209" i="4" s="1"/>
  <c r="K2208" i="4"/>
  <c r="J2208" i="4"/>
  <c r="H2208" i="4"/>
  <c r="I2208" i="4" s="1"/>
  <c r="K2207" i="4"/>
  <c r="J2207" i="4"/>
  <c r="H2207" i="4"/>
  <c r="I2207" i="4" s="1"/>
  <c r="K2206" i="4"/>
  <c r="J2206" i="4"/>
  <c r="H2206" i="4"/>
  <c r="I2206" i="4" s="1"/>
  <c r="K2205" i="4"/>
  <c r="J2205" i="4"/>
  <c r="H2205" i="4"/>
  <c r="I2205" i="4" s="1"/>
  <c r="K2204" i="4"/>
  <c r="J2204" i="4"/>
  <c r="H2204" i="4"/>
  <c r="I2204" i="4" s="1"/>
  <c r="K2203" i="4"/>
  <c r="J2203" i="4"/>
  <c r="H2203" i="4"/>
  <c r="I2203" i="4" s="1"/>
  <c r="K2202" i="4"/>
  <c r="J2202" i="4"/>
  <c r="H2202" i="4"/>
  <c r="I2202" i="4" s="1"/>
  <c r="K2201" i="4"/>
  <c r="J2201" i="4"/>
  <c r="H2201" i="4"/>
  <c r="I2201" i="4" s="1"/>
  <c r="K2200" i="4"/>
  <c r="J2200" i="4"/>
  <c r="H2200" i="4"/>
  <c r="I2200" i="4" s="1"/>
  <c r="K2199" i="4"/>
  <c r="J2199" i="4"/>
  <c r="H2199" i="4"/>
  <c r="I2199" i="4" s="1"/>
  <c r="K2198" i="4"/>
  <c r="J2198" i="4"/>
  <c r="H2198" i="4"/>
  <c r="I2198" i="4" s="1"/>
  <c r="K2197" i="4"/>
  <c r="J2197" i="4"/>
  <c r="H2197" i="4"/>
  <c r="I2197" i="4" s="1"/>
  <c r="K2196" i="4"/>
  <c r="J2196" i="4"/>
  <c r="H2196" i="4"/>
  <c r="I2196" i="4" s="1"/>
  <c r="K2195" i="4"/>
  <c r="J2195" i="4"/>
  <c r="H2195" i="4"/>
  <c r="I2195" i="4" s="1"/>
  <c r="K2194" i="4"/>
  <c r="J2194" i="4"/>
  <c r="H2194" i="4"/>
  <c r="I2194" i="4" s="1"/>
  <c r="K2193" i="4"/>
  <c r="J2193" i="4"/>
  <c r="H2193" i="4"/>
  <c r="I2193" i="4" s="1"/>
  <c r="K2192" i="4"/>
  <c r="J2192" i="4"/>
  <c r="H2192" i="4"/>
  <c r="I2192" i="4" s="1"/>
  <c r="K2191" i="4"/>
  <c r="J2191" i="4"/>
  <c r="H2191" i="4"/>
  <c r="I2191" i="4" s="1"/>
  <c r="K2190" i="4"/>
  <c r="J2190" i="4"/>
  <c r="H2190" i="4"/>
  <c r="I2190" i="4" s="1"/>
  <c r="K2189" i="4"/>
  <c r="J2189" i="4"/>
  <c r="H2189" i="4"/>
  <c r="I2189" i="4" s="1"/>
  <c r="K2188" i="4"/>
  <c r="J2188" i="4"/>
  <c r="H2188" i="4"/>
  <c r="I2188" i="4" s="1"/>
  <c r="K2187" i="4"/>
  <c r="J2187" i="4"/>
  <c r="H2187" i="4"/>
  <c r="I2187" i="4" s="1"/>
  <c r="K2186" i="4"/>
  <c r="J2186" i="4"/>
  <c r="H2186" i="4"/>
  <c r="I2186" i="4" s="1"/>
  <c r="K2185" i="4"/>
  <c r="J2185" i="4"/>
  <c r="H2185" i="4"/>
  <c r="I2185" i="4" s="1"/>
  <c r="K2184" i="4"/>
  <c r="J2184" i="4"/>
  <c r="H2184" i="4"/>
  <c r="I2184" i="4" s="1"/>
  <c r="K2183" i="4"/>
  <c r="J2183" i="4"/>
  <c r="H2183" i="4"/>
  <c r="I2183" i="4" s="1"/>
  <c r="K2182" i="4"/>
  <c r="J2182" i="4"/>
  <c r="H2182" i="4"/>
  <c r="I2182" i="4" s="1"/>
  <c r="K2181" i="4"/>
  <c r="J2181" i="4"/>
  <c r="H2181" i="4"/>
  <c r="I2181" i="4" s="1"/>
  <c r="K2180" i="4"/>
  <c r="J2180" i="4"/>
  <c r="H2180" i="4"/>
  <c r="I2180" i="4" s="1"/>
  <c r="K2179" i="4"/>
  <c r="J2179" i="4"/>
  <c r="H2179" i="4"/>
  <c r="I2179" i="4" s="1"/>
  <c r="K2178" i="4"/>
  <c r="J2178" i="4"/>
  <c r="H2178" i="4"/>
  <c r="I2178" i="4" s="1"/>
  <c r="K2177" i="4"/>
  <c r="J2177" i="4"/>
  <c r="H2177" i="4"/>
  <c r="I2177" i="4" s="1"/>
  <c r="K2176" i="4"/>
  <c r="J2176" i="4"/>
  <c r="H2176" i="4"/>
  <c r="I2176" i="4" s="1"/>
  <c r="K2175" i="4"/>
  <c r="J2175" i="4"/>
  <c r="H2175" i="4"/>
  <c r="I2175" i="4" s="1"/>
  <c r="K2174" i="4"/>
  <c r="J2174" i="4"/>
  <c r="H2174" i="4"/>
  <c r="I2174" i="4" s="1"/>
  <c r="K2173" i="4"/>
  <c r="J2173" i="4"/>
  <c r="H2173" i="4"/>
  <c r="I2173" i="4" s="1"/>
  <c r="K2172" i="4"/>
  <c r="J2172" i="4"/>
  <c r="H2172" i="4"/>
  <c r="I2172" i="4" s="1"/>
  <c r="K2171" i="4"/>
  <c r="J2171" i="4"/>
  <c r="H2171" i="4"/>
  <c r="I2171" i="4" s="1"/>
  <c r="K2170" i="4"/>
  <c r="J2170" i="4"/>
  <c r="H2170" i="4"/>
  <c r="I2170" i="4" s="1"/>
  <c r="K2169" i="4"/>
  <c r="J2169" i="4"/>
  <c r="H2169" i="4"/>
  <c r="I2169" i="4" s="1"/>
  <c r="K2168" i="4"/>
  <c r="J2168" i="4"/>
  <c r="H2168" i="4"/>
  <c r="I2168" i="4" s="1"/>
  <c r="K2167" i="4"/>
  <c r="J2167" i="4"/>
  <c r="H2167" i="4"/>
  <c r="I2167" i="4" s="1"/>
  <c r="K2166" i="4"/>
  <c r="J2166" i="4"/>
  <c r="H2166" i="4"/>
  <c r="I2166" i="4" s="1"/>
  <c r="K2165" i="4"/>
  <c r="J2165" i="4"/>
  <c r="H2165" i="4"/>
  <c r="I2165" i="4" s="1"/>
  <c r="K2164" i="4"/>
  <c r="J2164" i="4"/>
  <c r="H2164" i="4"/>
  <c r="I2164" i="4" s="1"/>
  <c r="K2163" i="4"/>
  <c r="J2163" i="4"/>
  <c r="H2163" i="4"/>
  <c r="I2163" i="4" s="1"/>
  <c r="K2162" i="4"/>
  <c r="J2162" i="4"/>
  <c r="H2162" i="4"/>
  <c r="I2162" i="4" s="1"/>
  <c r="K2161" i="4"/>
  <c r="J2161" i="4"/>
  <c r="H2161" i="4"/>
  <c r="I2161" i="4" s="1"/>
  <c r="K2160" i="4"/>
  <c r="J2160" i="4"/>
  <c r="H2160" i="4"/>
  <c r="I2160" i="4" s="1"/>
  <c r="K2159" i="4"/>
  <c r="J2159" i="4"/>
  <c r="H2159" i="4"/>
  <c r="I2159" i="4" s="1"/>
  <c r="K2158" i="4"/>
  <c r="J2158" i="4"/>
  <c r="H2158" i="4"/>
  <c r="I2158" i="4" s="1"/>
  <c r="K2157" i="4"/>
  <c r="J2157" i="4"/>
  <c r="H2157" i="4"/>
  <c r="I2157" i="4" s="1"/>
  <c r="K2156" i="4"/>
  <c r="J2156" i="4"/>
  <c r="H2156" i="4"/>
  <c r="I2156" i="4" s="1"/>
  <c r="K2155" i="4"/>
  <c r="J2155" i="4"/>
  <c r="H2155" i="4"/>
  <c r="I2155" i="4" s="1"/>
  <c r="K2154" i="4"/>
  <c r="J2154" i="4"/>
  <c r="H2154" i="4"/>
  <c r="I2154" i="4" s="1"/>
  <c r="K2153" i="4"/>
  <c r="J2153" i="4"/>
  <c r="H2153" i="4"/>
  <c r="I2153" i="4" s="1"/>
  <c r="K2152" i="4"/>
  <c r="J2152" i="4"/>
  <c r="H2152" i="4"/>
  <c r="I2152" i="4" s="1"/>
  <c r="K2151" i="4"/>
  <c r="J2151" i="4"/>
  <c r="H2151" i="4"/>
  <c r="I2151" i="4" s="1"/>
  <c r="K2150" i="4"/>
  <c r="J2150" i="4"/>
  <c r="H2150" i="4"/>
  <c r="I2150" i="4" s="1"/>
  <c r="K2149" i="4"/>
  <c r="J2149" i="4"/>
  <c r="H2149" i="4"/>
  <c r="I2149" i="4" s="1"/>
  <c r="K2148" i="4"/>
  <c r="J2148" i="4"/>
  <c r="H2148" i="4"/>
  <c r="I2148" i="4" s="1"/>
  <c r="K2147" i="4"/>
  <c r="J2147" i="4"/>
  <c r="H2147" i="4"/>
  <c r="I2147" i="4" s="1"/>
  <c r="K2146" i="4"/>
  <c r="J2146" i="4"/>
  <c r="H2146" i="4"/>
  <c r="I2146" i="4" s="1"/>
  <c r="K2145" i="4"/>
  <c r="J2145" i="4"/>
  <c r="H2145" i="4"/>
  <c r="I2145" i="4" s="1"/>
  <c r="K2144" i="4"/>
  <c r="J2144" i="4"/>
  <c r="H2144" i="4"/>
  <c r="I2144" i="4" s="1"/>
  <c r="K2143" i="4"/>
  <c r="J2143" i="4"/>
  <c r="H2143" i="4"/>
  <c r="I2143" i="4" s="1"/>
  <c r="K2142" i="4"/>
  <c r="J2142" i="4"/>
  <c r="H2142" i="4"/>
  <c r="I2142" i="4" s="1"/>
  <c r="K2141" i="4"/>
  <c r="J2141" i="4"/>
  <c r="H2141" i="4"/>
  <c r="I2141" i="4" s="1"/>
  <c r="K2140" i="4"/>
  <c r="J2140" i="4"/>
  <c r="H2140" i="4"/>
  <c r="I2140" i="4" s="1"/>
  <c r="K2139" i="4"/>
  <c r="J2139" i="4"/>
  <c r="H2139" i="4"/>
  <c r="I2139" i="4" s="1"/>
  <c r="K2138" i="4"/>
  <c r="J2138" i="4"/>
  <c r="H2138" i="4"/>
  <c r="I2138" i="4" s="1"/>
  <c r="K2137" i="4"/>
  <c r="J2137" i="4"/>
  <c r="H2137" i="4"/>
  <c r="I2137" i="4" s="1"/>
  <c r="K2136" i="4"/>
  <c r="J2136" i="4"/>
  <c r="H2136" i="4"/>
  <c r="I2136" i="4" s="1"/>
  <c r="K2135" i="4"/>
  <c r="J2135" i="4"/>
  <c r="H2135" i="4"/>
  <c r="I2135" i="4" s="1"/>
  <c r="K2134" i="4"/>
  <c r="J2134" i="4"/>
  <c r="H2134" i="4"/>
  <c r="I2134" i="4" s="1"/>
  <c r="K2133" i="4"/>
  <c r="J2133" i="4"/>
  <c r="H2133" i="4"/>
  <c r="I2133" i="4" s="1"/>
  <c r="K2132" i="4"/>
  <c r="J2132" i="4"/>
  <c r="H2132" i="4"/>
  <c r="I2132" i="4" s="1"/>
  <c r="K2131" i="4"/>
  <c r="J2131" i="4"/>
  <c r="H2131" i="4"/>
  <c r="I2131" i="4" s="1"/>
  <c r="K2130" i="4"/>
  <c r="J2130" i="4"/>
  <c r="H2130" i="4"/>
  <c r="I2130" i="4" s="1"/>
  <c r="K2129" i="4"/>
  <c r="J2129" i="4"/>
  <c r="H2129" i="4"/>
  <c r="I2129" i="4" s="1"/>
  <c r="K2128" i="4"/>
  <c r="J2128" i="4"/>
  <c r="H2128" i="4"/>
  <c r="I2128" i="4" s="1"/>
  <c r="K2127" i="4"/>
  <c r="J2127" i="4"/>
  <c r="H2127" i="4"/>
  <c r="I2127" i="4" s="1"/>
  <c r="K2126" i="4"/>
  <c r="J2126" i="4"/>
  <c r="H2126" i="4"/>
  <c r="I2126" i="4" s="1"/>
  <c r="K2125" i="4"/>
  <c r="J2125" i="4"/>
  <c r="H2125" i="4"/>
  <c r="I2125" i="4" s="1"/>
  <c r="K2124" i="4"/>
  <c r="J2124" i="4"/>
  <c r="H2124" i="4"/>
  <c r="I2124" i="4" s="1"/>
  <c r="K2123" i="4"/>
  <c r="J2123" i="4"/>
  <c r="H2123" i="4"/>
  <c r="I2123" i="4" s="1"/>
  <c r="K2122" i="4"/>
  <c r="J2122" i="4"/>
  <c r="H2122" i="4"/>
  <c r="I2122" i="4" s="1"/>
  <c r="K2121" i="4"/>
  <c r="J2121" i="4"/>
  <c r="H2121" i="4"/>
  <c r="I2121" i="4" s="1"/>
  <c r="K2120" i="4"/>
  <c r="J2120" i="4"/>
  <c r="H2120" i="4"/>
  <c r="I2120" i="4" s="1"/>
  <c r="K2119" i="4"/>
  <c r="J2119" i="4"/>
  <c r="H2119" i="4"/>
  <c r="I2119" i="4" s="1"/>
  <c r="K2118" i="4"/>
  <c r="J2118" i="4"/>
  <c r="H2118" i="4"/>
  <c r="I2118" i="4" s="1"/>
  <c r="K2117" i="4"/>
  <c r="J2117" i="4"/>
  <c r="H2117" i="4"/>
  <c r="I2117" i="4" s="1"/>
  <c r="K2116" i="4"/>
  <c r="J2116" i="4"/>
  <c r="H2116" i="4"/>
  <c r="I2116" i="4" s="1"/>
  <c r="K2115" i="4"/>
  <c r="J2115" i="4"/>
  <c r="H2115" i="4"/>
  <c r="I2115" i="4" s="1"/>
  <c r="K2114" i="4"/>
  <c r="J2114" i="4"/>
  <c r="H2114" i="4"/>
  <c r="I2114" i="4" s="1"/>
  <c r="K2113" i="4"/>
  <c r="J2113" i="4"/>
  <c r="H2113" i="4"/>
  <c r="I2113" i="4" s="1"/>
  <c r="K2112" i="4"/>
  <c r="J2112" i="4"/>
  <c r="H2112" i="4"/>
  <c r="I2112" i="4" s="1"/>
  <c r="K2111" i="4"/>
  <c r="J2111" i="4"/>
  <c r="H2111" i="4"/>
  <c r="I2111" i="4" s="1"/>
  <c r="K2110" i="4"/>
  <c r="J2110" i="4"/>
  <c r="H2110" i="4"/>
  <c r="I2110" i="4" s="1"/>
  <c r="K2109" i="4"/>
  <c r="J2109" i="4"/>
  <c r="H2109" i="4"/>
  <c r="I2109" i="4" s="1"/>
  <c r="K2108" i="4"/>
  <c r="J2108" i="4"/>
  <c r="H2108" i="4"/>
  <c r="I2108" i="4" s="1"/>
  <c r="K2107" i="4"/>
  <c r="J2107" i="4"/>
  <c r="H2107" i="4"/>
  <c r="I2107" i="4" s="1"/>
  <c r="K2106" i="4"/>
  <c r="J2106" i="4"/>
  <c r="H2106" i="4"/>
  <c r="I2106" i="4" s="1"/>
  <c r="K2105" i="4"/>
  <c r="J2105" i="4"/>
  <c r="H2105" i="4"/>
  <c r="I2105" i="4" s="1"/>
  <c r="K2104" i="4"/>
  <c r="J2104" i="4"/>
  <c r="H2104" i="4"/>
  <c r="I2104" i="4" s="1"/>
  <c r="K2103" i="4"/>
  <c r="J2103" i="4"/>
  <c r="H2103" i="4"/>
  <c r="I2103" i="4" s="1"/>
  <c r="K2102" i="4"/>
  <c r="J2102" i="4"/>
  <c r="H2102" i="4"/>
  <c r="I2102" i="4" s="1"/>
  <c r="K2101" i="4"/>
  <c r="J2101" i="4"/>
  <c r="H2101" i="4"/>
  <c r="I2101" i="4" s="1"/>
  <c r="K2100" i="4"/>
  <c r="J2100" i="4"/>
  <c r="H2100" i="4"/>
  <c r="I2100" i="4" s="1"/>
  <c r="K2099" i="4"/>
  <c r="J2099" i="4"/>
  <c r="H2099" i="4"/>
  <c r="I2099" i="4" s="1"/>
  <c r="K2098" i="4"/>
  <c r="J2098" i="4"/>
  <c r="H2098" i="4"/>
  <c r="I2098" i="4" s="1"/>
  <c r="K2097" i="4"/>
  <c r="J2097" i="4"/>
  <c r="H2097" i="4"/>
  <c r="I2097" i="4" s="1"/>
  <c r="K2096" i="4"/>
  <c r="J2096" i="4"/>
  <c r="H2096" i="4"/>
  <c r="I2096" i="4" s="1"/>
  <c r="K2095" i="4"/>
  <c r="J2095" i="4"/>
  <c r="H2095" i="4"/>
  <c r="I2095" i="4" s="1"/>
  <c r="K2094" i="4"/>
  <c r="J2094" i="4"/>
  <c r="H2094" i="4"/>
  <c r="I2094" i="4" s="1"/>
  <c r="K2093" i="4"/>
  <c r="J2093" i="4"/>
  <c r="H2093" i="4"/>
  <c r="I2093" i="4" s="1"/>
  <c r="K2092" i="4"/>
  <c r="J2092" i="4"/>
  <c r="H2092" i="4"/>
  <c r="I2092" i="4" s="1"/>
  <c r="K2091" i="4"/>
  <c r="J2091" i="4"/>
  <c r="H2091" i="4"/>
  <c r="I2091" i="4" s="1"/>
  <c r="K2090" i="4"/>
  <c r="J2090" i="4"/>
  <c r="H2090" i="4"/>
  <c r="I2090" i="4" s="1"/>
  <c r="K2089" i="4"/>
  <c r="J2089" i="4"/>
  <c r="H2089" i="4"/>
  <c r="I2089" i="4" s="1"/>
  <c r="K2088" i="4"/>
  <c r="J2088" i="4"/>
  <c r="H2088" i="4"/>
  <c r="I2088" i="4" s="1"/>
  <c r="K2087" i="4"/>
  <c r="J2087" i="4"/>
  <c r="H2087" i="4"/>
  <c r="I2087" i="4" s="1"/>
  <c r="K2086" i="4"/>
  <c r="J2086" i="4"/>
  <c r="H2086" i="4"/>
  <c r="I2086" i="4" s="1"/>
  <c r="K2085" i="4"/>
  <c r="J2085" i="4"/>
  <c r="H2085" i="4"/>
  <c r="I2085" i="4" s="1"/>
  <c r="K2084" i="4"/>
  <c r="J2084" i="4"/>
  <c r="H2084" i="4"/>
  <c r="I2084" i="4" s="1"/>
  <c r="K2083" i="4"/>
  <c r="J2083" i="4"/>
  <c r="H2083" i="4"/>
  <c r="I2083" i="4" s="1"/>
  <c r="K2082" i="4"/>
  <c r="J2082" i="4"/>
  <c r="H2082" i="4"/>
  <c r="I2082" i="4" s="1"/>
  <c r="K2081" i="4"/>
  <c r="J2081" i="4"/>
  <c r="H2081" i="4"/>
  <c r="I2081" i="4" s="1"/>
  <c r="K2080" i="4"/>
  <c r="J2080" i="4"/>
  <c r="H2080" i="4"/>
  <c r="I2080" i="4" s="1"/>
  <c r="K2079" i="4"/>
  <c r="J2079" i="4"/>
  <c r="H2079" i="4"/>
  <c r="I2079" i="4" s="1"/>
  <c r="K2078" i="4"/>
  <c r="J2078" i="4"/>
  <c r="H2078" i="4"/>
  <c r="I2078" i="4" s="1"/>
  <c r="K2077" i="4"/>
  <c r="J2077" i="4"/>
  <c r="H2077" i="4"/>
  <c r="I2077" i="4" s="1"/>
  <c r="K2076" i="4"/>
  <c r="J2076" i="4"/>
  <c r="H2076" i="4"/>
  <c r="I2076" i="4" s="1"/>
  <c r="K2075" i="4"/>
  <c r="J2075" i="4"/>
  <c r="H2075" i="4"/>
  <c r="I2075" i="4" s="1"/>
  <c r="K2074" i="4"/>
  <c r="J2074" i="4"/>
  <c r="H2074" i="4"/>
  <c r="I2074" i="4" s="1"/>
  <c r="K2073" i="4"/>
  <c r="J2073" i="4"/>
  <c r="H2073" i="4"/>
  <c r="I2073" i="4" s="1"/>
  <c r="K2072" i="4"/>
  <c r="J2072" i="4"/>
  <c r="H2072" i="4"/>
  <c r="I2072" i="4" s="1"/>
  <c r="K2071" i="4"/>
  <c r="J2071" i="4"/>
  <c r="H2071" i="4"/>
  <c r="I2071" i="4" s="1"/>
  <c r="K2070" i="4"/>
  <c r="J2070" i="4"/>
  <c r="H2070" i="4"/>
  <c r="I2070" i="4" s="1"/>
  <c r="K2069" i="4"/>
  <c r="J2069" i="4"/>
  <c r="H2069" i="4"/>
  <c r="I2069" i="4" s="1"/>
  <c r="K2068" i="4"/>
  <c r="J2068" i="4"/>
  <c r="H2068" i="4"/>
  <c r="I2068" i="4" s="1"/>
  <c r="K2067" i="4"/>
  <c r="J2067" i="4"/>
  <c r="H2067" i="4"/>
  <c r="I2067" i="4" s="1"/>
  <c r="K2066" i="4"/>
  <c r="J2066" i="4"/>
  <c r="H2066" i="4"/>
  <c r="I2066" i="4" s="1"/>
  <c r="K2065" i="4"/>
  <c r="J2065" i="4"/>
  <c r="H2065" i="4"/>
  <c r="I2065" i="4" s="1"/>
  <c r="K2064" i="4"/>
  <c r="J2064" i="4"/>
  <c r="H2064" i="4"/>
  <c r="I2064" i="4" s="1"/>
  <c r="K2063" i="4"/>
  <c r="J2063" i="4"/>
  <c r="H2063" i="4"/>
  <c r="I2063" i="4" s="1"/>
  <c r="K2062" i="4"/>
  <c r="J2062" i="4"/>
  <c r="H2062" i="4"/>
  <c r="I2062" i="4" s="1"/>
  <c r="K2061" i="4"/>
  <c r="J2061" i="4"/>
  <c r="H2061" i="4"/>
  <c r="I2061" i="4" s="1"/>
  <c r="K2060" i="4"/>
  <c r="J2060" i="4"/>
  <c r="H2060" i="4"/>
  <c r="I2060" i="4" s="1"/>
  <c r="K2059" i="4"/>
  <c r="J2059" i="4"/>
  <c r="H2059" i="4"/>
  <c r="I2059" i="4" s="1"/>
  <c r="K2058" i="4"/>
  <c r="J2058" i="4"/>
  <c r="H2058" i="4"/>
  <c r="I2058" i="4" s="1"/>
  <c r="K2057" i="4"/>
  <c r="J2057" i="4"/>
  <c r="H2057" i="4"/>
  <c r="I2057" i="4" s="1"/>
  <c r="K2056" i="4"/>
  <c r="J2056" i="4"/>
  <c r="H2056" i="4"/>
  <c r="I2056" i="4" s="1"/>
  <c r="K2055" i="4"/>
  <c r="J2055" i="4"/>
  <c r="H2055" i="4"/>
  <c r="I2055" i="4" s="1"/>
  <c r="K2054" i="4"/>
  <c r="J2054" i="4"/>
  <c r="H2054" i="4"/>
  <c r="I2054" i="4" s="1"/>
  <c r="K2053" i="4"/>
  <c r="J2053" i="4"/>
  <c r="H2053" i="4"/>
  <c r="I2053" i="4" s="1"/>
  <c r="K2052" i="4"/>
  <c r="J2052" i="4"/>
  <c r="H2052" i="4"/>
  <c r="I2052" i="4" s="1"/>
  <c r="K2051" i="4"/>
  <c r="J2051" i="4"/>
  <c r="H2051" i="4"/>
  <c r="I2051" i="4" s="1"/>
  <c r="K2050" i="4"/>
  <c r="J2050" i="4"/>
  <c r="H2050" i="4"/>
  <c r="I2050" i="4" s="1"/>
  <c r="K2049" i="4"/>
  <c r="J2049" i="4"/>
  <c r="H2049" i="4"/>
  <c r="I2049" i="4" s="1"/>
  <c r="K2048" i="4"/>
  <c r="J2048" i="4"/>
  <c r="H2048" i="4"/>
  <c r="I2048" i="4" s="1"/>
  <c r="K2047" i="4"/>
  <c r="J2047" i="4"/>
  <c r="H2047" i="4"/>
  <c r="I2047" i="4" s="1"/>
  <c r="K2046" i="4"/>
  <c r="J2046" i="4"/>
  <c r="H2046" i="4"/>
  <c r="I2046" i="4" s="1"/>
  <c r="K2045" i="4"/>
  <c r="J2045" i="4"/>
  <c r="H2045" i="4"/>
  <c r="I2045" i="4" s="1"/>
  <c r="K2044" i="4"/>
  <c r="J2044" i="4"/>
  <c r="H2044" i="4"/>
  <c r="I2044" i="4" s="1"/>
  <c r="K2043" i="4"/>
  <c r="J2043" i="4"/>
  <c r="H2043" i="4"/>
  <c r="I2043" i="4" s="1"/>
  <c r="K2042" i="4"/>
  <c r="J2042" i="4"/>
  <c r="H2042" i="4"/>
  <c r="I2042" i="4" s="1"/>
  <c r="K2041" i="4"/>
  <c r="J2041" i="4"/>
  <c r="H2041" i="4"/>
  <c r="I2041" i="4" s="1"/>
  <c r="K2040" i="4"/>
  <c r="J2040" i="4"/>
  <c r="H2040" i="4"/>
  <c r="I2040" i="4" s="1"/>
  <c r="K2039" i="4"/>
  <c r="J2039" i="4"/>
  <c r="H2039" i="4"/>
  <c r="I2039" i="4" s="1"/>
  <c r="K2038" i="4"/>
  <c r="J2038" i="4"/>
  <c r="H2038" i="4"/>
  <c r="I2038" i="4" s="1"/>
  <c r="K2037" i="4"/>
  <c r="J2037" i="4"/>
  <c r="H2037" i="4"/>
  <c r="I2037" i="4" s="1"/>
  <c r="K2036" i="4"/>
  <c r="J2036" i="4"/>
  <c r="H2036" i="4"/>
  <c r="I2036" i="4" s="1"/>
  <c r="K2035" i="4"/>
  <c r="J2035" i="4"/>
  <c r="H2035" i="4"/>
  <c r="I2035" i="4" s="1"/>
  <c r="K2034" i="4"/>
  <c r="J2034" i="4"/>
  <c r="H2034" i="4"/>
  <c r="I2034" i="4" s="1"/>
  <c r="K2033" i="4"/>
  <c r="J2033" i="4"/>
  <c r="H2033" i="4"/>
  <c r="I2033" i="4" s="1"/>
  <c r="K2032" i="4"/>
  <c r="J2032" i="4"/>
  <c r="H2032" i="4"/>
  <c r="I2032" i="4" s="1"/>
  <c r="K2031" i="4"/>
  <c r="J2031" i="4"/>
  <c r="H2031" i="4"/>
  <c r="I2031" i="4" s="1"/>
  <c r="K2030" i="4"/>
  <c r="J2030" i="4"/>
  <c r="H2030" i="4"/>
  <c r="I2030" i="4" s="1"/>
  <c r="K2029" i="4"/>
  <c r="J2029" i="4"/>
  <c r="H2029" i="4"/>
  <c r="I2029" i="4" s="1"/>
  <c r="K2028" i="4"/>
  <c r="J2028" i="4"/>
  <c r="H2028" i="4"/>
  <c r="I2028" i="4" s="1"/>
  <c r="K2027" i="4"/>
  <c r="J2027" i="4"/>
  <c r="H2027" i="4"/>
  <c r="I2027" i="4" s="1"/>
  <c r="K2026" i="4"/>
  <c r="J2026" i="4"/>
  <c r="H2026" i="4"/>
  <c r="I2026" i="4" s="1"/>
  <c r="K2025" i="4"/>
  <c r="J2025" i="4"/>
  <c r="H2025" i="4"/>
  <c r="I2025" i="4" s="1"/>
  <c r="K2024" i="4"/>
  <c r="J2024" i="4"/>
  <c r="H2024" i="4"/>
  <c r="I2024" i="4" s="1"/>
  <c r="K2023" i="4"/>
  <c r="J2023" i="4"/>
  <c r="H2023" i="4"/>
  <c r="I2023" i="4" s="1"/>
  <c r="K2022" i="4"/>
  <c r="J2022" i="4"/>
  <c r="H2022" i="4"/>
  <c r="I2022" i="4" s="1"/>
  <c r="K2021" i="4"/>
  <c r="J2021" i="4"/>
  <c r="H2021" i="4"/>
  <c r="I2021" i="4" s="1"/>
  <c r="K2020" i="4"/>
  <c r="J2020" i="4"/>
  <c r="H2020" i="4"/>
  <c r="I2020" i="4" s="1"/>
  <c r="K2019" i="4"/>
  <c r="J2019" i="4"/>
  <c r="H2019" i="4"/>
  <c r="I2019" i="4" s="1"/>
  <c r="K2018" i="4"/>
  <c r="J2018" i="4"/>
  <c r="H2018" i="4"/>
  <c r="I2018" i="4" s="1"/>
  <c r="K2017" i="4"/>
  <c r="J2017" i="4"/>
  <c r="H2017" i="4"/>
  <c r="I2017" i="4" s="1"/>
  <c r="K2016" i="4"/>
  <c r="J2016" i="4"/>
  <c r="H2016" i="4"/>
  <c r="I2016" i="4" s="1"/>
  <c r="K2015" i="4"/>
  <c r="J2015" i="4"/>
  <c r="H2015" i="4"/>
  <c r="I2015" i="4" s="1"/>
  <c r="K2014" i="4"/>
  <c r="J2014" i="4"/>
  <c r="H2014" i="4"/>
  <c r="I2014" i="4" s="1"/>
  <c r="K2013" i="4"/>
  <c r="J2013" i="4"/>
  <c r="H2013" i="4"/>
  <c r="I2013" i="4" s="1"/>
  <c r="K2012" i="4"/>
  <c r="J2012" i="4"/>
  <c r="H2012" i="4"/>
  <c r="I2012" i="4" s="1"/>
  <c r="K2011" i="4"/>
  <c r="J2011" i="4"/>
  <c r="H2011" i="4"/>
  <c r="I2011" i="4" s="1"/>
  <c r="K2010" i="4"/>
  <c r="J2010" i="4"/>
  <c r="H2010" i="4"/>
  <c r="I2010" i="4" s="1"/>
  <c r="K2009" i="4"/>
  <c r="J2009" i="4"/>
  <c r="H2009" i="4"/>
  <c r="I2009" i="4" s="1"/>
  <c r="K2008" i="4"/>
  <c r="J2008" i="4"/>
  <c r="H2008" i="4"/>
  <c r="I2008" i="4" s="1"/>
  <c r="K2007" i="4"/>
  <c r="J2007" i="4"/>
  <c r="H2007" i="4"/>
  <c r="I2007" i="4" s="1"/>
  <c r="K2006" i="4"/>
  <c r="J2006" i="4"/>
  <c r="H2006" i="4"/>
  <c r="I2006" i="4" s="1"/>
  <c r="K2005" i="4"/>
  <c r="J2005" i="4"/>
  <c r="H2005" i="4"/>
  <c r="I2005" i="4" s="1"/>
  <c r="K2004" i="4"/>
  <c r="J2004" i="4"/>
  <c r="H2004" i="4"/>
  <c r="I2004" i="4" s="1"/>
  <c r="K2003" i="4"/>
  <c r="J2003" i="4"/>
  <c r="H2003" i="4"/>
  <c r="I2003" i="4" s="1"/>
  <c r="K2002" i="4"/>
  <c r="J2002" i="4"/>
  <c r="H2002" i="4"/>
  <c r="I2002" i="4" s="1"/>
  <c r="K2001" i="4"/>
  <c r="J2001" i="4"/>
  <c r="H2001" i="4"/>
  <c r="I2001" i="4" s="1"/>
  <c r="K2000" i="4"/>
  <c r="J2000" i="4"/>
  <c r="H2000" i="4"/>
  <c r="I2000" i="4" s="1"/>
  <c r="K1999" i="4"/>
  <c r="J1999" i="4"/>
  <c r="H1999" i="4"/>
  <c r="I1999" i="4" s="1"/>
  <c r="K1998" i="4"/>
  <c r="J1998" i="4"/>
  <c r="H1998" i="4"/>
  <c r="I1998" i="4" s="1"/>
  <c r="K1997" i="4"/>
  <c r="J1997" i="4"/>
  <c r="H1997" i="4"/>
  <c r="I1997" i="4" s="1"/>
  <c r="K1996" i="4"/>
  <c r="J1996" i="4"/>
  <c r="H1996" i="4"/>
  <c r="I1996" i="4" s="1"/>
  <c r="K1995" i="4"/>
  <c r="J1995" i="4"/>
  <c r="H1995" i="4"/>
  <c r="I1995" i="4" s="1"/>
  <c r="K1994" i="4"/>
  <c r="J1994" i="4"/>
  <c r="H1994" i="4"/>
  <c r="I1994" i="4" s="1"/>
  <c r="K1993" i="4"/>
  <c r="J1993" i="4"/>
  <c r="H1993" i="4"/>
  <c r="I1993" i="4" s="1"/>
  <c r="K1992" i="4"/>
  <c r="J1992" i="4"/>
  <c r="H1992" i="4"/>
  <c r="I1992" i="4" s="1"/>
  <c r="K1991" i="4"/>
  <c r="J1991" i="4"/>
  <c r="H1991" i="4"/>
  <c r="I1991" i="4" s="1"/>
  <c r="K1990" i="4"/>
  <c r="J1990" i="4"/>
  <c r="H1990" i="4"/>
  <c r="I1990" i="4" s="1"/>
  <c r="K1989" i="4"/>
  <c r="J1989" i="4"/>
  <c r="H1989" i="4"/>
  <c r="I1989" i="4" s="1"/>
  <c r="K1988" i="4"/>
  <c r="J1988" i="4"/>
  <c r="H1988" i="4"/>
  <c r="I1988" i="4" s="1"/>
  <c r="K1987" i="4"/>
  <c r="J1987" i="4"/>
  <c r="H1987" i="4"/>
  <c r="I1987" i="4" s="1"/>
  <c r="K1986" i="4"/>
  <c r="J1986" i="4"/>
  <c r="H1986" i="4"/>
  <c r="I1986" i="4" s="1"/>
  <c r="K1985" i="4"/>
  <c r="J1985" i="4"/>
  <c r="H1985" i="4"/>
  <c r="I1985" i="4" s="1"/>
  <c r="K1984" i="4"/>
  <c r="J1984" i="4"/>
  <c r="H1984" i="4"/>
  <c r="I1984" i="4" s="1"/>
  <c r="K1983" i="4"/>
  <c r="J1983" i="4"/>
  <c r="H1983" i="4"/>
  <c r="I1983" i="4" s="1"/>
  <c r="K1982" i="4"/>
  <c r="J1982" i="4"/>
  <c r="H1982" i="4"/>
  <c r="I1982" i="4" s="1"/>
  <c r="K1981" i="4"/>
  <c r="J1981" i="4"/>
  <c r="H1981" i="4"/>
  <c r="I1981" i="4" s="1"/>
  <c r="K1980" i="4"/>
  <c r="J1980" i="4"/>
  <c r="H1980" i="4"/>
  <c r="I1980" i="4" s="1"/>
  <c r="K1979" i="4"/>
  <c r="J1979" i="4"/>
  <c r="H1979" i="4"/>
  <c r="I1979" i="4" s="1"/>
  <c r="K1978" i="4"/>
  <c r="J1978" i="4"/>
  <c r="H1978" i="4"/>
  <c r="I1978" i="4" s="1"/>
  <c r="K1977" i="4"/>
  <c r="J1977" i="4"/>
  <c r="H1977" i="4"/>
  <c r="I1977" i="4" s="1"/>
  <c r="K1976" i="4"/>
  <c r="J1976" i="4"/>
  <c r="H1976" i="4"/>
  <c r="I1976" i="4" s="1"/>
  <c r="K1975" i="4"/>
  <c r="J1975" i="4"/>
  <c r="H1975" i="4"/>
  <c r="I1975" i="4" s="1"/>
  <c r="K1974" i="4"/>
  <c r="J1974" i="4"/>
  <c r="H1974" i="4"/>
  <c r="I1974" i="4" s="1"/>
  <c r="K1973" i="4"/>
  <c r="J1973" i="4"/>
  <c r="H1973" i="4"/>
  <c r="I1973" i="4" s="1"/>
  <c r="K1972" i="4"/>
  <c r="J1972" i="4"/>
  <c r="H1972" i="4"/>
  <c r="I1972" i="4" s="1"/>
  <c r="K1971" i="4"/>
  <c r="J1971" i="4"/>
  <c r="H1971" i="4"/>
  <c r="I1971" i="4" s="1"/>
  <c r="K1970" i="4"/>
  <c r="J1970" i="4"/>
  <c r="H1970" i="4"/>
  <c r="I1970" i="4" s="1"/>
  <c r="K1969" i="4"/>
  <c r="J1969" i="4"/>
  <c r="H1969" i="4"/>
  <c r="I1969" i="4" s="1"/>
  <c r="K1968" i="4"/>
  <c r="J1968" i="4"/>
  <c r="H1968" i="4"/>
  <c r="I1968" i="4" s="1"/>
  <c r="K1967" i="4"/>
  <c r="J1967" i="4"/>
  <c r="H1967" i="4"/>
  <c r="I1967" i="4" s="1"/>
  <c r="K1966" i="4"/>
  <c r="J1966" i="4"/>
  <c r="H1966" i="4"/>
  <c r="I1966" i="4" s="1"/>
  <c r="K1965" i="4"/>
  <c r="J1965" i="4"/>
  <c r="H1965" i="4"/>
  <c r="I1965" i="4" s="1"/>
  <c r="K1964" i="4"/>
  <c r="J1964" i="4"/>
  <c r="H1964" i="4"/>
  <c r="I1964" i="4" s="1"/>
  <c r="K1963" i="4"/>
  <c r="J1963" i="4"/>
  <c r="H1963" i="4"/>
  <c r="I1963" i="4" s="1"/>
  <c r="K1962" i="4"/>
  <c r="J1962" i="4"/>
  <c r="H1962" i="4"/>
  <c r="I1962" i="4" s="1"/>
  <c r="K1961" i="4"/>
  <c r="J1961" i="4"/>
  <c r="H1961" i="4"/>
  <c r="I1961" i="4" s="1"/>
  <c r="K1960" i="4"/>
  <c r="J1960" i="4"/>
  <c r="H1960" i="4"/>
  <c r="I1960" i="4" s="1"/>
  <c r="K1959" i="4"/>
  <c r="J1959" i="4"/>
  <c r="H1959" i="4"/>
  <c r="I1959" i="4" s="1"/>
  <c r="K1958" i="4"/>
  <c r="J1958" i="4"/>
  <c r="H1958" i="4"/>
  <c r="I1958" i="4" s="1"/>
  <c r="K1957" i="4"/>
  <c r="J1957" i="4"/>
  <c r="H1957" i="4"/>
  <c r="I1957" i="4" s="1"/>
  <c r="K1956" i="4"/>
  <c r="J1956" i="4"/>
  <c r="H1956" i="4"/>
  <c r="I1956" i="4" s="1"/>
  <c r="K1955" i="4"/>
  <c r="J1955" i="4"/>
  <c r="H1955" i="4"/>
  <c r="I1955" i="4" s="1"/>
  <c r="K1954" i="4"/>
  <c r="J1954" i="4"/>
  <c r="H1954" i="4"/>
  <c r="I1954" i="4" s="1"/>
  <c r="K1953" i="4"/>
  <c r="J1953" i="4"/>
  <c r="H1953" i="4"/>
  <c r="I1953" i="4" s="1"/>
  <c r="K1952" i="4"/>
  <c r="J1952" i="4"/>
  <c r="H1952" i="4"/>
  <c r="I1952" i="4" s="1"/>
  <c r="K1951" i="4"/>
  <c r="J1951" i="4"/>
  <c r="H1951" i="4"/>
  <c r="I1951" i="4" s="1"/>
  <c r="K1950" i="4"/>
  <c r="J1950" i="4"/>
  <c r="H1950" i="4"/>
  <c r="I1950" i="4" s="1"/>
  <c r="K1949" i="4"/>
  <c r="J1949" i="4"/>
  <c r="H1949" i="4"/>
  <c r="I1949" i="4" s="1"/>
  <c r="K1948" i="4"/>
  <c r="J1948" i="4"/>
  <c r="H1948" i="4"/>
  <c r="I1948" i="4" s="1"/>
  <c r="K1947" i="4"/>
  <c r="J1947" i="4"/>
  <c r="H1947" i="4"/>
  <c r="I1947" i="4" s="1"/>
  <c r="K1946" i="4"/>
  <c r="J1946" i="4"/>
  <c r="H1946" i="4"/>
  <c r="I1946" i="4" s="1"/>
  <c r="K1945" i="4"/>
  <c r="J1945" i="4"/>
  <c r="H1945" i="4"/>
  <c r="I1945" i="4" s="1"/>
  <c r="K1944" i="4"/>
  <c r="J1944" i="4"/>
  <c r="H1944" i="4"/>
  <c r="I1944" i="4" s="1"/>
  <c r="K1943" i="4"/>
  <c r="J1943" i="4"/>
  <c r="H1943" i="4"/>
  <c r="I1943" i="4" s="1"/>
  <c r="K1942" i="4"/>
  <c r="J1942" i="4"/>
  <c r="H1942" i="4"/>
  <c r="I1942" i="4" s="1"/>
  <c r="K1941" i="4"/>
  <c r="J1941" i="4"/>
  <c r="H1941" i="4"/>
  <c r="I1941" i="4" s="1"/>
  <c r="K1940" i="4"/>
  <c r="J1940" i="4"/>
  <c r="H1940" i="4"/>
  <c r="I1940" i="4" s="1"/>
  <c r="K1939" i="4"/>
  <c r="J1939" i="4"/>
  <c r="H1939" i="4"/>
  <c r="I1939" i="4" s="1"/>
  <c r="K1938" i="4"/>
  <c r="J1938" i="4"/>
  <c r="H1938" i="4"/>
  <c r="I1938" i="4" s="1"/>
  <c r="K1937" i="4"/>
  <c r="J1937" i="4"/>
  <c r="H1937" i="4"/>
  <c r="I1937" i="4" s="1"/>
  <c r="K1936" i="4"/>
  <c r="J1936" i="4"/>
  <c r="H1936" i="4"/>
  <c r="I1936" i="4" s="1"/>
  <c r="K1935" i="4"/>
  <c r="J1935" i="4"/>
  <c r="H1935" i="4"/>
  <c r="I1935" i="4" s="1"/>
  <c r="K1934" i="4"/>
  <c r="J1934" i="4"/>
  <c r="H1934" i="4"/>
  <c r="I1934" i="4" s="1"/>
  <c r="K1933" i="4"/>
  <c r="J1933" i="4"/>
  <c r="H1933" i="4"/>
  <c r="I1933" i="4" s="1"/>
  <c r="K1932" i="4"/>
  <c r="J1932" i="4"/>
  <c r="H1932" i="4"/>
  <c r="I1932" i="4" s="1"/>
  <c r="K1931" i="4"/>
  <c r="J1931" i="4"/>
  <c r="H1931" i="4"/>
  <c r="I1931" i="4" s="1"/>
  <c r="K1930" i="4"/>
  <c r="J1930" i="4"/>
  <c r="H1930" i="4"/>
  <c r="I1930" i="4" s="1"/>
  <c r="K1929" i="4"/>
  <c r="J1929" i="4"/>
  <c r="H1929" i="4"/>
  <c r="I1929" i="4" s="1"/>
  <c r="K1928" i="4"/>
  <c r="J1928" i="4"/>
  <c r="H1928" i="4"/>
  <c r="I1928" i="4" s="1"/>
  <c r="K1927" i="4"/>
  <c r="J1927" i="4"/>
  <c r="H1927" i="4"/>
  <c r="I1927" i="4" s="1"/>
  <c r="K1926" i="4"/>
  <c r="J1926" i="4"/>
  <c r="H1926" i="4"/>
  <c r="I1926" i="4" s="1"/>
  <c r="K1925" i="4"/>
  <c r="J1925" i="4"/>
  <c r="H1925" i="4"/>
  <c r="I1925" i="4" s="1"/>
  <c r="K1924" i="4"/>
  <c r="J1924" i="4"/>
  <c r="H1924" i="4"/>
  <c r="I1924" i="4" s="1"/>
  <c r="K1923" i="4"/>
  <c r="J1923" i="4"/>
  <c r="H1923" i="4"/>
  <c r="I1923" i="4" s="1"/>
  <c r="K1922" i="4"/>
  <c r="J1922" i="4"/>
  <c r="H1922" i="4"/>
  <c r="I1922" i="4" s="1"/>
  <c r="K1921" i="4"/>
  <c r="J1921" i="4"/>
  <c r="H1921" i="4"/>
  <c r="I1921" i="4" s="1"/>
  <c r="K1920" i="4"/>
  <c r="J1920" i="4"/>
  <c r="H1920" i="4"/>
  <c r="I1920" i="4" s="1"/>
  <c r="K1919" i="4"/>
  <c r="J1919" i="4"/>
  <c r="H1919" i="4"/>
  <c r="I1919" i="4" s="1"/>
  <c r="K1918" i="4"/>
  <c r="J1918" i="4"/>
  <c r="H1918" i="4"/>
  <c r="I1918" i="4" s="1"/>
  <c r="K1917" i="4"/>
  <c r="J1917" i="4"/>
  <c r="H1917" i="4"/>
  <c r="I1917" i="4" s="1"/>
  <c r="K1916" i="4"/>
  <c r="J1916" i="4"/>
  <c r="H1916" i="4"/>
  <c r="I1916" i="4" s="1"/>
  <c r="K1915" i="4"/>
  <c r="J1915" i="4"/>
  <c r="H1915" i="4"/>
  <c r="I1915" i="4" s="1"/>
  <c r="K1914" i="4"/>
  <c r="J1914" i="4"/>
  <c r="H1914" i="4"/>
  <c r="I1914" i="4" s="1"/>
  <c r="K1913" i="4"/>
  <c r="J1913" i="4"/>
  <c r="H1913" i="4"/>
  <c r="I1913" i="4" s="1"/>
  <c r="K1912" i="4"/>
  <c r="J1912" i="4"/>
  <c r="H1912" i="4"/>
  <c r="I1912" i="4" s="1"/>
  <c r="K1911" i="4"/>
  <c r="J1911" i="4"/>
  <c r="H1911" i="4"/>
  <c r="I1911" i="4" s="1"/>
  <c r="K1910" i="4"/>
  <c r="J1910" i="4"/>
  <c r="H1910" i="4"/>
  <c r="I1910" i="4" s="1"/>
  <c r="K1909" i="4"/>
  <c r="J1909" i="4"/>
  <c r="H1909" i="4"/>
  <c r="I1909" i="4" s="1"/>
  <c r="K1908" i="4"/>
  <c r="J1908" i="4"/>
  <c r="H1908" i="4"/>
  <c r="I1908" i="4" s="1"/>
  <c r="K1907" i="4"/>
  <c r="J1907" i="4"/>
  <c r="H1907" i="4"/>
  <c r="I1907" i="4" s="1"/>
  <c r="K1906" i="4"/>
  <c r="J1906" i="4"/>
  <c r="H1906" i="4"/>
  <c r="I1906" i="4" s="1"/>
  <c r="K1905" i="4"/>
  <c r="J1905" i="4"/>
  <c r="H1905" i="4"/>
  <c r="I1905" i="4" s="1"/>
  <c r="K1904" i="4"/>
  <c r="J1904" i="4"/>
  <c r="H1904" i="4"/>
  <c r="I1904" i="4" s="1"/>
  <c r="K1903" i="4"/>
  <c r="J1903" i="4"/>
  <c r="H1903" i="4"/>
  <c r="I1903" i="4" s="1"/>
  <c r="K1902" i="4"/>
  <c r="J1902" i="4"/>
  <c r="H1902" i="4"/>
  <c r="I1902" i="4" s="1"/>
  <c r="K1901" i="4"/>
  <c r="J1901" i="4"/>
  <c r="H1901" i="4"/>
  <c r="I1901" i="4" s="1"/>
  <c r="K1900" i="4"/>
  <c r="J1900" i="4"/>
  <c r="H1900" i="4"/>
  <c r="I1900" i="4" s="1"/>
  <c r="K1899" i="4"/>
  <c r="J1899" i="4"/>
  <c r="H1899" i="4"/>
  <c r="I1899" i="4" s="1"/>
  <c r="K1898" i="4"/>
  <c r="J1898" i="4"/>
  <c r="H1898" i="4"/>
  <c r="I1898" i="4" s="1"/>
  <c r="K1897" i="4"/>
  <c r="J1897" i="4"/>
  <c r="H1897" i="4"/>
  <c r="I1897" i="4" s="1"/>
  <c r="K1896" i="4"/>
  <c r="J1896" i="4"/>
  <c r="H1896" i="4"/>
  <c r="I1896" i="4" s="1"/>
  <c r="K1895" i="4"/>
  <c r="J1895" i="4"/>
  <c r="H1895" i="4"/>
  <c r="I1895" i="4" s="1"/>
  <c r="K1894" i="4"/>
  <c r="J1894" i="4"/>
  <c r="H1894" i="4"/>
  <c r="I1894" i="4" s="1"/>
  <c r="K1893" i="4"/>
  <c r="J1893" i="4"/>
  <c r="H1893" i="4"/>
  <c r="I1893" i="4" s="1"/>
  <c r="K1892" i="4"/>
  <c r="J1892" i="4"/>
  <c r="H1892" i="4"/>
  <c r="I1892" i="4" s="1"/>
  <c r="K1891" i="4"/>
  <c r="J1891" i="4"/>
  <c r="H1891" i="4"/>
  <c r="I1891" i="4" s="1"/>
  <c r="K1890" i="4"/>
  <c r="J1890" i="4"/>
  <c r="H1890" i="4"/>
  <c r="I1890" i="4" s="1"/>
  <c r="K1889" i="4"/>
  <c r="J1889" i="4"/>
  <c r="H1889" i="4"/>
  <c r="I1889" i="4" s="1"/>
  <c r="K1888" i="4"/>
  <c r="J1888" i="4"/>
  <c r="H1888" i="4"/>
  <c r="I1888" i="4" s="1"/>
  <c r="K1887" i="4"/>
  <c r="J1887" i="4"/>
  <c r="H1887" i="4"/>
  <c r="I1887" i="4" s="1"/>
  <c r="K1886" i="4"/>
  <c r="J1886" i="4"/>
  <c r="H1886" i="4"/>
  <c r="I1886" i="4" s="1"/>
  <c r="K1885" i="4"/>
  <c r="J1885" i="4"/>
  <c r="H1885" i="4"/>
  <c r="I1885" i="4" s="1"/>
  <c r="K1884" i="4"/>
  <c r="J1884" i="4"/>
  <c r="H1884" i="4"/>
  <c r="I1884" i="4" s="1"/>
  <c r="K1883" i="4"/>
  <c r="J1883" i="4"/>
  <c r="H1883" i="4"/>
  <c r="I1883" i="4" s="1"/>
  <c r="K1882" i="4"/>
  <c r="J1882" i="4"/>
  <c r="H1882" i="4"/>
  <c r="I1882" i="4" s="1"/>
  <c r="K1881" i="4"/>
  <c r="J1881" i="4"/>
  <c r="H1881" i="4"/>
  <c r="I1881" i="4" s="1"/>
  <c r="K1880" i="4"/>
  <c r="J1880" i="4"/>
  <c r="H1880" i="4"/>
  <c r="I1880" i="4" s="1"/>
  <c r="K1879" i="4"/>
  <c r="J1879" i="4"/>
  <c r="H1879" i="4"/>
  <c r="I1879" i="4" s="1"/>
  <c r="K1878" i="4"/>
  <c r="J1878" i="4"/>
  <c r="H1878" i="4"/>
  <c r="I1878" i="4" s="1"/>
  <c r="K1877" i="4"/>
  <c r="J1877" i="4"/>
  <c r="H1877" i="4"/>
  <c r="I1877" i="4" s="1"/>
  <c r="K1876" i="4"/>
  <c r="J1876" i="4"/>
  <c r="H1876" i="4"/>
  <c r="I1876" i="4" s="1"/>
  <c r="K1875" i="4"/>
  <c r="J1875" i="4"/>
  <c r="H1875" i="4"/>
  <c r="I1875" i="4" s="1"/>
  <c r="K1874" i="4"/>
  <c r="J1874" i="4"/>
  <c r="H1874" i="4"/>
  <c r="I1874" i="4" s="1"/>
  <c r="K1873" i="4"/>
  <c r="J1873" i="4"/>
  <c r="H1873" i="4"/>
  <c r="I1873" i="4" s="1"/>
  <c r="K1872" i="4"/>
  <c r="J1872" i="4"/>
  <c r="H1872" i="4"/>
  <c r="I1872" i="4" s="1"/>
  <c r="K1871" i="4"/>
  <c r="J1871" i="4"/>
  <c r="H1871" i="4"/>
  <c r="I1871" i="4" s="1"/>
  <c r="K1870" i="4"/>
  <c r="J1870" i="4"/>
  <c r="H1870" i="4"/>
  <c r="I1870" i="4" s="1"/>
  <c r="K1869" i="4"/>
  <c r="J1869" i="4"/>
  <c r="H1869" i="4"/>
  <c r="I1869" i="4" s="1"/>
  <c r="K1868" i="4"/>
  <c r="J1868" i="4"/>
  <c r="H1868" i="4"/>
  <c r="I1868" i="4" s="1"/>
  <c r="K1867" i="4"/>
  <c r="J1867" i="4"/>
  <c r="H1867" i="4"/>
  <c r="I1867" i="4" s="1"/>
  <c r="K1866" i="4"/>
  <c r="J1866" i="4"/>
  <c r="H1866" i="4"/>
  <c r="I1866" i="4" s="1"/>
  <c r="K1865" i="4"/>
  <c r="J1865" i="4"/>
  <c r="H1865" i="4"/>
  <c r="I1865" i="4" s="1"/>
  <c r="K1864" i="4"/>
  <c r="J1864" i="4"/>
  <c r="H1864" i="4"/>
  <c r="I1864" i="4" s="1"/>
  <c r="K1863" i="4"/>
  <c r="J1863" i="4"/>
  <c r="H1863" i="4"/>
  <c r="I1863" i="4" s="1"/>
  <c r="K1862" i="4"/>
  <c r="J1862" i="4"/>
  <c r="H1862" i="4"/>
  <c r="I1862" i="4" s="1"/>
  <c r="K1861" i="4"/>
  <c r="J1861" i="4"/>
  <c r="H1861" i="4"/>
  <c r="I1861" i="4" s="1"/>
  <c r="K1860" i="4"/>
  <c r="J1860" i="4"/>
  <c r="H1860" i="4"/>
  <c r="I1860" i="4" s="1"/>
  <c r="K1859" i="4"/>
  <c r="J1859" i="4"/>
  <c r="H1859" i="4"/>
  <c r="I1859" i="4" s="1"/>
  <c r="K1858" i="4"/>
  <c r="J1858" i="4"/>
  <c r="H1858" i="4"/>
  <c r="I1858" i="4" s="1"/>
  <c r="K1857" i="4"/>
  <c r="J1857" i="4"/>
  <c r="H1857" i="4"/>
  <c r="I1857" i="4" s="1"/>
  <c r="K1856" i="4"/>
  <c r="J1856" i="4"/>
  <c r="H1856" i="4"/>
  <c r="I1856" i="4" s="1"/>
  <c r="K1855" i="4"/>
  <c r="J1855" i="4"/>
  <c r="H1855" i="4"/>
  <c r="I1855" i="4" s="1"/>
  <c r="K1854" i="4"/>
  <c r="J1854" i="4"/>
  <c r="H1854" i="4"/>
  <c r="I1854" i="4" s="1"/>
  <c r="K1853" i="4"/>
  <c r="J1853" i="4"/>
  <c r="H1853" i="4"/>
  <c r="I1853" i="4" s="1"/>
  <c r="K1852" i="4"/>
  <c r="J1852" i="4"/>
  <c r="H1852" i="4"/>
  <c r="I1852" i="4" s="1"/>
  <c r="K1851" i="4"/>
  <c r="J1851" i="4"/>
  <c r="H1851" i="4"/>
  <c r="I1851" i="4" s="1"/>
  <c r="K1850" i="4"/>
  <c r="J1850" i="4"/>
  <c r="H1850" i="4"/>
  <c r="I1850" i="4" s="1"/>
  <c r="K1849" i="4"/>
  <c r="J1849" i="4"/>
  <c r="H1849" i="4"/>
  <c r="I1849" i="4" s="1"/>
  <c r="K1848" i="4"/>
  <c r="J1848" i="4"/>
  <c r="H1848" i="4"/>
  <c r="I1848" i="4" s="1"/>
  <c r="K1847" i="4"/>
  <c r="J1847" i="4"/>
  <c r="H1847" i="4"/>
  <c r="I1847" i="4" s="1"/>
  <c r="K1846" i="4"/>
  <c r="J1846" i="4"/>
  <c r="H1846" i="4"/>
  <c r="I1846" i="4" s="1"/>
  <c r="K1845" i="4"/>
  <c r="J1845" i="4"/>
  <c r="H1845" i="4"/>
  <c r="I1845" i="4" s="1"/>
  <c r="K1844" i="4"/>
  <c r="J1844" i="4"/>
  <c r="H1844" i="4"/>
  <c r="I1844" i="4" s="1"/>
  <c r="K1843" i="4"/>
  <c r="J1843" i="4"/>
  <c r="H1843" i="4"/>
  <c r="I1843" i="4" s="1"/>
  <c r="K1842" i="4"/>
  <c r="J1842" i="4"/>
  <c r="H1842" i="4"/>
  <c r="I1842" i="4" s="1"/>
  <c r="K1841" i="4"/>
  <c r="J1841" i="4"/>
  <c r="H1841" i="4"/>
  <c r="I1841" i="4" s="1"/>
  <c r="K1840" i="4"/>
  <c r="J1840" i="4"/>
  <c r="H1840" i="4"/>
  <c r="I1840" i="4" s="1"/>
  <c r="K1839" i="4"/>
  <c r="J1839" i="4"/>
  <c r="H1839" i="4"/>
  <c r="I1839" i="4" s="1"/>
  <c r="K1838" i="4"/>
  <c r="J1838" i="4"/>
  <c r="H1838" i="4"/>
  <c r="I1838" i="4" s="1"/>
  <c r="K1837" i="4"/>
  <c r="J1837" i="4"/>
  <c r="H1837" i="4"/>
  <c r="I1837" i="4" s="1"/>
  <c r="K1836" i="4"/>
  <c r="J1836" i="4"/>
  <c r="H1836" i="4"/>
  <c r="I1836" i="4" s="1"/>
  <c r="K1835" i="4"/>
  <c r="J1835" i="4"/>
  <c r="H1835" i="4"/>
  <c r="I1835" i="4" s="1"/>
  <c r="K1834" i="4"/>
  <c r="J1834" i="4"/>
  <c r="H1834" i="4"/>
  <c r="I1834" i="4" s="1"/>
  <c r="K1833" i="4"/>
  <c r="J1833" i="4"/>
  <c r="H1833" i="4"/>
  <c r="I1833" i="4" s="1"/>
  <c r="K1832" i="4"/>
  <c r="J1832" i="4"/>
  <c r="H1832" i="4"/>
  <c r="I1832" i="4" s="1"/>
  <c r="K1831" i="4"/>
  <c r="J1831" i="4"/>
  <c r="H1831" i="4"/>
  <c r="I1831" i="4" s="1"/>
  <c r="K1830" i="4"/>
  <c r="J1830" i="4"/>
  <c r="H1830" i="4"/>
  <c r="I1830" i="4" s="1"/>
  <c r="K1829" i="4"/>
  <c r="J1829" i="4"/>
  <c r="H1829" i="4"/>
  <c r="I1829" i="4" s="1"/>
  <c r="K1828" i="4"/>
  <c r="J1828" i="4"/>
  <c r="H1828" i="4"/>
  <c r="I1828" i="4" s="1"/>
  <c r="K1827" i="4"/>
  <c r="J1827" i="4"/>
  <c r="H1827" i="4"/>
  <c r="I1827" i="4" s="1"/>
  <c r="K1826" i="4"/>
  <c r="J1826" i="4"/>
  <c r="H1826" i="4"/>
  <c r="I1826" i="4" s="1"/>
  <c r="K1825" i="4"/>
  <c r="J1825" i="4"/>
  <c r="H1825" i="4"/>
  <c r="I1825" i="4" s="1"/>
  <c r="K1824" i="4"/>
  <c r="J1824" i="4"/>
  <c r="H1824" i="4"/>
  <c r="I1824" i="4" s="1"/>
  <c r="K1823" i="4"/>
  <c r="J1823" i="4"/>
  <c r="H1823" i="4"/>
  <c r="I1823" i="4" s="1"/>
  <c r="K1822" i="4"/>
  <c r="J1822" i="4"/>
  <c r="H1822" i="4"/>
  <c r="I1822" i="4" s="1"/>
  <c r="K1821" i="4"/>
  <c r="J1821" i="4"/>
  <c r="H1821" i="4"/>
  <c r="I1821" i="4" s="1"/>
  <c r="K1820" i="4"/>
  <c r="J1820" i="4"/>
  <c r="H1820" i="4"/>
  <c r="I1820" i="4" s="1"/>
  <c r="K1819" i="4"/>
  <c r="J1819" i="4"/>
  <c r="H1819" i="4"/>
  <c r="I1819" i="4" s="1"/>
  <c r="K1818" i="4"/>
  <c r="J1818" i="4"/>
  <c r="H1818" i="4"/>
  <c r="I1818" i="4" s="1"/>
  <c r="K1817" i="4"/>
  <c r="J1817" i="4"/>
  <c r="H1817" i="4"/>
  <c r="I1817" i="4" s="1"/>
  <c r="K1816" i="4"/>
  <c r="J1816" i="4"/>
  <c r="H1816" i="4"/>
  <c r="I1816" i="4" s="1"/>
  <c r="K1815" i="4"/>
  <c r="J1815" i="4"/>
  <c r="H1815" i="4"/>
  <c r="I1815" i="4" s="1"/>
  <c r="K1814" i="4"/>
  <c r="J1814" i="4"/>
  <c r="H1814" i="4"/>
  <c r="I1814" i="4" s="1"/>
  <c r="K1813" i="4"/>
  <c r="J1813" i="4"/>
  <c r="H1813" i="4"/>
  <c r="I1813" i="4" s="1"/>
  <c r="K1812" i="4"/>
  <c r="J1812" i="4"/>
  <c r="H1812" i="4"/>
  <c r="I1812" i="4" s="1"/>
  <c r="K1811" i="4"/>
  <c r="J1811" i="4"/>
  <c r="H1811" i="4"/>
  <c r="I1811" i="4" s="1"/>
  <c r="K1810" i="4"/>
  <c r="J1810" i="4"/>
  <c r="H1810" i="4"/>
  <c r="I1810" i="4" s="1"/>
  <c r="K1809" i="4"/>
  <c r="J1809" i="4"/>
  <c r="H1809" i="4"/>
  <c r="I1809" i="4" s="1"/>
  <c r="K1808" i="4"/>
  <c r="J1808" i="4"/>
  <c r="H1808" i="4"/>
  <c r="I1808" i="4" s="1"/>
  <c r="K1807" i="4"/>
  <c r="J1807" i="4"/>
  <c r="H1807" i="4"/>
  <c r="I1807" i="4" s="1"/>
  <c r="K1806" i="4"/>
  <c r="J1806" i="4"/>
  <c r="H1806" i="4"/>
  <c r="I1806" i="4" s="1"/>
  <c r="K1805" i="4"/>
  <c r="J1805" i="4"/>
  <c r="H1805" i="4"/>
  <c r="I1805" i="4" s="1"/>
  <c r="K1804" i="4"/>
  <c r="J1804" i="4"/>
  <c r="H1804" i="4"/>
  <c r="I1804" i="4" s="1"/>
  <c r="K1803" i="4"/>
  <c r="J1803" i="4"/>
  <c r="H1803" i="4"/>
  <c r="I1803" i="4" s="1"/>
  <c r="K1802" i="4"/>
  <c r="J1802" i="4"/>
  <c r="H1802" i="4"/>
  <c r="I1802" i="4" s="1"/>
  <c r="K1801" i="4"/>
  <c r="J1801" i="4"/>
  <c r="H1801" i="4"/>
  <c r="I1801" i="4" s="1"/>
  <c r="K1800" i="4"/>
  <c r="J1800" i="4"/>
  <c r="H1800" i="4"/>
  <c r="I1800" i="4" s="1"/>
  <c r="K1799" i="4"/>
  <c r="J1799" i="4"/>
  <c r="H1799" i="4"/>
  <c r="I1799" i="4" s="1"/>
  <c r="K1798" i="4"/>
  <c r="J1798" i="4"/>
  <c r="H1798" i="4"/>
  <c r="I1798" i="4" s="1"/>
  <c r="K1797" i="4"/>
  <c r="J1797" i="4"/>
  <c r="H1797" i="4"/>
  <c r="I1797" i="4" s="1"/>
  <c r="K1796" i="4"/>
  <c r="J1796" i="4"/>
  <c r="H1796" i="4"/>
  <c r="I1796" i="4" s="1"/>
  <c r="K1795" i="4"/>
  <c r="J1795" i="4"/>
  <c r="H1795" i="4"/>
  <c r="I1795" i="4" s="1"/>
  <c r="K1794" i="4"/>
  <c r="J1794" i="4"/>
  <c r="H1794" i="4"/>
  <c r="I1794" i="4" s="1"/>
  <c r="K1793" i="4"/>
  <c r="J1793" i="4"/>
  <c r="H1793" i="4"/>
  <c r="I1793" i="4" s="1"/>
  <c r="K1792" i="4"/>
  <c r="J1792" i="4"/>
  <c r="H1792" i="4"/>
  <c r="I1792" i="4" s="1"/>
  <c r="K1791" i="4"/>
  <c r="J1791" i="4"/>
  <c r="H1791" i="4"/>
  <c r="I1791" i="4" s="1"/>
  <c r="K1790" i="4"/>
  <c r="J1790" i="4"/>
  <c r="H1790" i="4"/>
  <c r="I1790" i="4" s="1"/>
  <c r="K1789" i="4"/>
  <c r="J1789" i="4"/>
  <c r="H1789" i="4"/>
  <c r="I1789" i="4" s="1"/>
  <c r="K1788" i="4"/>
  <c r="J1788" i="4"/>
  <c r="H1788" i="4"/>
  <c r="I1788" i="4" s="1"/>
  <c r="K1787" i="4"/>
  <c r="J1787" i="4"/>
  <c r="H1787" i="4"/>
  <c r="I1787" i="4" s="1"/>
  <c r="K1786" i="4"/>
  <c r="J1786" i="4"/>
  <c r="H1786" i="4"/>
  <c r="I1786" i="4" s="1"/>
  <c r="K1785" i="4"/>
  <c r="J1785" i="4"/>
  <c r="H1785" i="4"/>
  <c r="I1785" i="4" s="1"/>
  <c r="K1784" i="4"/>
  <c r="J1784" i="4"/>
  <c r="H1784" i="4"/>
  <c r="I1784" i="4" s="1"/>
  <c r="K1783" i="4"/>
  <c r="J1783" i="4"/>
  <c r="H1783" i="4"/>
  <c r="I1783" i="4" s="1"/>
  <c r="K1782" i="4"/>
  <c r="J1782" i="4"/>
  <c r="H1782" i="4"/>
  <c r="I1782" i="4" s="1"/>
  <c r="K1781" i="4"/>
  <c r="J1781" i="4"/>
  <c r="H1781" i="4"/>
  <c r="I1781" i="4" s="1"/>
  <c r="K1780" i="4"/>
  <c r="J1780" i="4"/>
  <c r="H1780" i="4"/>
  <c r="I1780" i="4" s="1"/>
  <c r="K1779" i="4"/>
  <c r="J1779" i="4"/>
  <c r="H1779" i="4"/>
  <c r="I1779" i="4" s="1"/>
  <c r="K1778" i="4"/>
  <c r="J1778" i="4"/>
  <c r="H1778" i="4"/>
  <c r="I1778" i="4" s="1"/>
  <c r="K1777" i="4"/>
  <c r="J1777" i="4"/>
  <c r="H1777" i="4"/>
  <c r="I1777" i="4" s="1"/>
  <c r="K1776" i="4"/>
  <c r="J1776" i="4"/>
  <c r="H1776" i="4"/>
  <c r="I1776" i="4" s="1"/>
  <c r="K1775" i="4"/>
  <c r="J1775" i="4"/>
  <c r="H1775" i="4"/>
  <c r="I1775" i="4" s="1"/>
  <c r="K1774" i="4"/>
  <c r="J1774" i="4"/>
  <c r="H1774" i="4"/>
  <c r="I1774" i="4" s="1"/>
  <c r="K1773" i="4"/>
  <c r="J1773" i="4"/>
  <c r="H1773" i="4"/>
  <c r="I1773" i="4" s="1"/>
  <c r="K1772" i="4"/>
  <c r="J1772" i="4"/>
  <c r="H1772" i="4"/>
  <c r="I1772" i="4" s="1"/>
  <c r="K1771" i="4"/>
  <c r="J1771" i="4"/>
  <c r="H1771" i="4"/>
  <c r="I1771" i="4" s="1"/>
  <c r="K1770" i="4"/>
  <c r="J1770" i="4"/>
  <c r="H1770" i="4"/>
  <c r="I1770" i="4" s="1"/>
  <c r="K1769" i="4"/>
  <c r="J1769" i="4"/>
  <c r="H1769" i="4"/>
  <c r="I1769" i="4" s="1"/>
  <c r="K1768" i="4"/>
  <c r="J1768" i="4"/>
  <c r="H1768" i="4"/>
  <c r="I1768" i="4" s="1"/>
  <c r="K1767" i="4"/>
  <c r="J1767" i="4"/>
  <c r="H1767" i="4"/>
  <c r="I1767" i="4" s="1"/>
  <c r="K1766" i="4"/>
  <c r="J1766" i="4"/>
  <c r="H1766" i="4"/>
  <c r="I1766" i="4" s="1"/>
  <c r="K1765" i="4"/>
  <c r="J1765" i="4"/>
  <c r="H1765" i="4"/>
  <c r="I1765" i="4" s="1"/>
  <c r="K1764" i="4"/>
  <c r="J1764" i="4"/>
  <c r="H1764" i="4"/>
  <c r="I1764" i="4" s="1"/>
  <c r="K1763" i="4"/>
  <c r="J1763" i="4"/>
  <c r="H1763" i="4"/>
  <c r="I1763" i="4" s="1"/>
  <c r="K1762" i="4"/>
  <c r="J1762" i="4"/>
  <c r="H1762" i="4"/>
  <c r="I1762" i="4" s="1"/>
  <c r="K1761" i="4"/>
  <c r="J1761" i="4"/>
  <c r="H1761" i="4"/>
  <c r="I1761" i="4" s="1"/>
  <c r="K1760" i="4"/>
  <c r="J1760" i="4"/>
  <c r="H1760" i="4"/>
  <c r="I1760" i="4" s="1"/>
  <c r="K1759" i="4"/>
  <c r="J1759" i="4"/>
  <c r="H1759" i="4"/>
  <c r="I1759" i="4" s="1"/>
  <c r="K1758" i="4"/>
  <c r="J1758" i="4"/>
  <c r="H1758" i="4"/>
  <c r="I1758" i="4" s="1"/>
  <c r="K1757" i="4"/>
  <c r="J1757" i="4"/>
  <c r="H1757" i="4"/>
  <c r="I1757" i="4" s="1"/>
  <c r="K1756" i="4"/>
  <c r="J1756" i="4"/>
  <c r="H1756" i="4"/>
  <c r="I1756" i="4" s="1"/>
  <c r="K1755" i="4"/>
  <c r="J1755" i="4"/>
  <c r="H1755" i="4"/>
  <c r="I1755" i="4" s="1"/>
  <c r="K1754" i="4"/>
  <c r="J1754" i="4"/>
  <c r="H1754" i="4"/>
  <c r="I1754" i="4" s="1"/>
  <c r="K1753" i="4"/>
  <c r="J1753" i="4"/>
  <c r="H1753" i="4"/>
  <c r="I1753" i="4" s="1"/>
  <c r="K1752" i="4"/>
  <c r="J1752" i="4"/>
  <c r="H1752" i="4"/>
  <c r="I1752" i="4" s="1"/>
  <c r="K1751" i="4"/>
  <c r="J1751" i="4"/>
  <c r="H1751" i="4"/>
  <c r="I1751" i="4" s="1"/>
  <c r="K1750" i="4"/>
  <c r="J1750" i="4"/>
  <c r="H1750" i="4"/>
  <c r="I1750" i="4" s="1"/>
  <c r="K1749" i="4"/>
  <c r="J1749" i="4"/>
  <c r="H1749" i="4"/>
  <c r="I1749" i="4" s="1"/>
  <c r="K1748" i="4"/>
  <c r="J1748" i="4"/>
  <c r="H1748" i="4"/>
  <c r="I1748" i="4" s="1"/>
  <c r="K1747" i="4"/>
  <c r="J1747" i="4"/>
  <c r="H1747" i="4"/>
  <c r="I1747" i="4" s="1"/>
  <c r="K1746" i="4"/>
  <c r="J1746" i="4"/>
  <c r="H1746" i="4"/>
  <c r="I1746" i="4" s="1"/>
  <c r="K1745" i="4"/>
  <c r="J1745" i="4"/>
  <c r="H1745" i="4"/>
  <c r="I1745" i="4" s="1"/>
  <c r="K1744" i="4"/>
  <c r="J1744" i="4"/>
  <c r="H1744" i="4"/>
  <c r="I1744" i="4" s="1"/>
  <c r="K1743" i="4"/>
  <c r="J1743" i="4"/>
  <c r="H1743" i="4"/>
  <c r="I1743" i="4" s="1"/>
  <c r="K1742" i="4"/>
  <c r="J1742" i="4"/>
  <c r="H1742" i="4"/>
  <c r="I1742" i="4" s="1"/>
  <c r="K1741" i="4"/>
  <c r="J1741" i="4"/>
  <c r="H1741" i="4"/>
  <c r="I1741" i="4" s="1"/>
  <c r="K1740" i="4"/>
  <c r="J1740" i="4"/>
  <c r="H1740" i="4"/>
  <c r="I1740" i="4" s="1"/>
  <c r="K1739" i="4"/>
  <c r="J1739" i="4"/>
  <c r="H1739" i="4"/>
  <c r="I1739" i="4" s="1"/>
  <c r="K1738" i="4"/>
  <c r="J1738" i="4"/>
  <c r="H1738" i="4"/>
  <c r="I1738" i="4" s="1"/>
  <c r="K1737" i="4"/>
  <c r="J1737" i="4"/>
  <c r="H1737" i="4"/>
  <c r="I1737" i="4" s="1"/>
  <c r="K1736" i="4"/>
  <c r="J1736" i="4"/>
  <c r="H1736" i="4"/>
  <c r="I1736" i="4" s="1"/>
  <c r="K1735" i="4"/>
  <c r="J1735" i="4"/>
  <c r="H1735" i="4"/>
  <c r="I1735" i="4" s="1"/>
  <c r="K1734" i="4"/>
  <c r="J1734" i="4"/>
  <c r="H1734" i="4"/>
  <c r="I1734" i="4" s="1"/>
  <c r="K1733" i="4"/>
  <c r="J1733" i="4"/>
  <c r="H1733" i="4"/>
  <c r="I1733" i="4" s="1"/>
  <c r="K1732" i="4"/>
  <c r="J1732" i="4"/>
  <c r="H1732" i="4"/>
  <c r="I1732" i="4" s="1"/>
  <c r="K1731" i="4"/>
  <c r="J1731" i="4"/>
  <c r="H1731" i="4"/>
  <c r="I1731" i="4" s="1"/>
  <c r="K1730" i="4"/>
  <c r="J1730" i="4"/>
  <c r="H1730" i="4"/>
  <c r="I1730" i="4" s="1"/>
  <c r="K1729" i="4"/>
  <c r="J1729" i="4"/>
  <c r="H1729" i="4"/>
  <c r="I1729" i="4" s="1"/>
  <c r="K1728" i="4"/>
  <c r="J1728" i="4"/>
  <c r="H1728" i="4"/>
  <c r="I1728" i="4" s="1"/>
  <c r="K1727" i="4"/>
  <c r="J1727" i="4"/>
  <c r="H1727" i="4"/>
  <c r="I1727" i="4" s="1"/>
  <c r="K1726" i="4"/>
  <c r="J1726" i="4"/>
  <c r="H1726" i="4"/>
  <c r="I1726" i="4" s="1"/>
  <c r="K1725" i="4"/>
  <c r="J1725" i="4"/>
  <c r="H1725" i="4"/>
  <c r="I1725" i="4" s="1"/>
  <c r="K1724" i="4"/>
  <c r="J1724" i="4"/>
  <c r="H1724" i="4"/>
  <c r="I1724" i="4" s="1"/>
  <c r="K1723" i="4"/>
  <c r="J1723" i="4"/>
  <c r="H1723" i="4"/>
  <c r="I1723" i="4" s="1"/>
  <c r="K1722" i="4"/>
  <c r="J1722" i="4"/>
  <c r="H1722" i="4"/>
  <c r="I1722" i="4" s="1"/>
  <c r="K1721" i="4"/>
  <c r="J1721" i="4"/>
  <c r="H1721" i="4"/>
  <c r="I1721" i="4" s="1"/>
  <c r="K1720" i="4"/>
  <c r="J1720" i="4"/>
  <c r="H1720" i="4"/>
  <c r="I1720" i="4" s="1"/>
  <c r="K1719" i="4"/>
  <c r="J1719" i="4"/>
  <c r="H1719" i="4"/>
  <c r="I1719" i="4" s="1"/>
  <c r="K1718" i="4"/>
  <c r="J1718" i="4"/>
  <c r="H1718" i="4"/>
  <c r="I1718" i="4" s="1"/>
  <c r="K1717" i="4"/>
  <c r="J1717" i="4"/>
  <c r="H1717" i="4"/>
  <c r="I1717" i="4" s="1"/>
  <c r="K1716" i="4"/>
  <c r="J1716" i="4"/>
  <c r="H1716" i="4"/>
  <c r="I1716" i="4" s="1"/>
  <c r="K1715" i="4"/>
  <c r="J1715" i="4"/>
  <c r="H1715" i="4"/>
  <c r="I1715" i="4" s="1"/>
  <c r="K1714" i="4"/>
  <c r="J1714" i="4"/>
  <c r="H1714" i="4"/>
  <c r="I1714" i="4" s="1"/>
  <c r="K1713" i="4"/>
  <c r="J1713" i="4"/>
  <c r="H1713" i="4"/>
  <c r="I1713" i="4" s="1"/>
  <c r="K1712" i="4"/>
  <c r="J1712" i="4"/>
  <c r="H1712" i="4"/>
  <c r="I1712" i="4" s="1"/>
  <c r="K1711" i="4"/>
  <c r="J1711" i="4"/>
  <c r="H1711" i="4"/>
  <c r="I1711" i="4" s="1"/>
  <c r="K1710" i="4"/>
  <c r="J1710" i="4"/>
  <c r="H1710" i="4"/>
  <c r="I1710" i="4" s="1"/>
  <c r="K1709" i="4"/>
  <c r="J1709" i="4"/>
  <c r="H1709" i="4"/>
  <c r="I1709" i="4" s="1"/>
  <c r="K1708" i="4"/>
  <c r="J1708" i="4"/>
  <c r="H1708" i="4"/>
  <c r="I1708" i="4" s="1"/>
  <c r="K1707" i="4"/>
  <c r="J1707" i="4"/>
  <c r="H1707" i="4"/>
  <c r="I1707" i="4" s="1"/>
  <c r="K1706" i="4"/>
  <c r="J1706" i="4"/>
  <c r="H1706" i="4"/>
  <c r="I1706" i="4" s="1"/>
  <c r="K1705" i="4"/>
  <c r="J1705" i="4"/>
  <c r="H1705" i="4"/>
  <c r="I1705" i="4" s="1"/>
  <c r="K1704" i="4"/>
  <c r="J1704" i="4"/>
  <c r="H1704" i="4"/>
  <c r="I1704" i="4" s="1"/>
  <c r="K1703" i="4"/>
  <c r="J1703" i="4"/>
  <c r="H1703" i="4"/>
  <c r="I1703" i="4" s="1"/>
  <c r="K1702" i="4"/>
  <c r="J1702" i="4"/>
  <c r="H1702" i="4"/>
  <c r="I1702" i="4" s="1"/>
  <c r="K1701" i="4"/>
  <c r="J1701" i="4"/>
  <c r="H1701" i="4"/>
  <c r="I1701" i="4" s="1"/>
  <c r="K1700" i="4"/>
  <c r="J1700" i="4"/>
  <c r="H1700" i="4"/>
  <c r="I1700" i="4" s="1"/>
  <c r="K1699" i="4"/>
  <c r="J1699" i="4"/>
  <c r="H1699" i="4"/>
  <c r="I1699" i="4" s="1"/>
  <c r="K1698" i="4"/>
  <c r="J1698" i="4"/>
  <c r="H1698" i="4"/>
  <c r="I1698" i="4" s="1"/>
  <c r="K1697" i="4"/>
  <c r="J1697" i="4"/>
  <c r="H1697" i="4"/>
  <c r="I1697" i="4" s="1"/>
  <c r="K1696" i="4"/>
  <c r="J1696" i="4"/>
  <c r="H1696" i="4"/>
  <c r="I1696" i="4" s="1"/>
  <c r="K1695" i="4"/>
  <c r="J1695" i="4"/>
  <c r="H1695" i="4"/>
  <c r="I1695" i="4" s="1"/>
  <c r="K1694" i="4"/>
  <c r="J1694" i="4"/>
  <c r="H1694" i="4"/>
  <c r="I1694" i="4" s="1"/>
  <c r="K1693" i="4"/>
  <c r="J1693" i="4"/>
  <c r="H1693" i="4"/>
  <c r="I1693" i="4" s="1"/>
  <c r="K1692" i="4"/>
  <c r="J1692" i="4"/>
  <c r="H1692" i="4"/>
  <c r="I1692" i="4" s="1"/>
  <c r="K1691" i="4"/>
  <c r="J1691" i="4"/>
  <c r="H1691" i="4"/>
  <c r="I1691" i="4" s="1"/>
  <c r="K1690" i="4"/>
  <c r="J1690" i="4"/>
  <c r="H1690" i="4"/>
  <c r="I1690" i="4" s="1"/>
  <c r="K1689" i="4"/>
  <c r="J1689" i="4"/>
  <c r="H1689" i="4"/>
  <c r="I1689" i="4" s="1"/>
  <c r="K1688" i="4"/>
  <c r="J1688" i="4"/>
  <c r="H1688" i="4"/>
  <c r="I1688" i="4" s="1"/>
  <c r="K1687" i="4"/>
  <c r="J1687" i="4"/>
  <c r="H1687" i="4"/>
  <c r="I1687" i="4" s="1"/>
  <c r="K1686" i="4"/>
  <c r="J1686" i="4"/>
  <c r="H1686" i="4"/>
  <c r="I1686" i="4" s="1"/>
  <c r="K1685" i="4"/>
  <c r="J1685" i="4"/>
  <c r="H1685" i="4"/>
  <c r="I1685" i="4" s="1"/>
  <c r="K1684" i="4"/>
  <c r="J1684" i="4"/>
  <c r="H1684" i="4"/>
  <c r="I1684" i="4" s="1"/>
  <c r="K1683" i="4"/>
  <c r="J1683" i="4"/>
  <c r="H1683" i="4"/>
  <c r="I1683" i="4" s="1"/>
  <c r="K1682" i="4"/>
  <c r="J1682" i="4"/>
  <c r="H1682" i="4"/>
  <c r="I1682" i="4" s="1"/>
  <c r="K1681" i="4"/>
  <c r="J1681" i="4"/>
  <c r="H1681" i="4"/>
  <c r="I1681" i="4" s="1"/>
  <c r="K1680" i="4"/>
  <c r="J1680" i="4"/>
  <c r="H1680" i="4"/>
  <c r="I1680" i="4" s="1"/>
  <c r="K1679" i="4"/>
  <c r="J1679" i="4"/>
  <c r="H1679" i="4"/>
  <c r="I1679" i="4" s="1"/>
  <c r="K1678" i="4"/>
  <c r="J1678" i="4"/>
  <c r="H1678" i="4"/>
  <c r="I1678" i="4" s="1"/>
  <c r="K1677" i="4"/>
  <c r="J1677" i="4"/>
  <c r="H1677" i="4"/>
  <c r="I1677" i="4" s="1"/>
  <c r="K1676" i="4"/>
  <c r="J1676" i="4"/>
  <c r="H1676" i="4"/>
  <c r="I1676" i="4" s="1"/>
  <c r="K1675" i="4"/>
  <c r="J1675" i="4"/>
  <c r="H1675" i="4"/>
  <c r="I1675" i="4" s="1"/>
  <c r="K1674" i="4"/>
  <c r="J1674" i="4"/>
  <c r="H1674" i="4"/>
  <c r="I1674" i="4" s="1"/>
  <c r="K1673" i="4"/>
  <c r="J1673" i="4"/>
  <c r="H1673" i="4"/>
  <c r="I1673" i="4" s="1"/>
  <c r="K1672" i="4"/>
  <c r="J1672" i="4"/>
  <c r="H1672" i="4"/>
  <c r="I1672" i="4" s="1"/>
  <c r="K1671" i="4"/>
  <c r="J1671" i="4"/>
  <c r="H1671" i="4"/>
  <c r="I1671" i="4" s="1"/>
  <c r="K1670" i="4"/>
  <c r="J1670" i="4"/>
  <c r="H1670" i="4"/>
  <c r="I1670" i="4" s="1"/>
  <c r="K1669" i="4"/>
  <c r="J1669" i="4"/>
  <c r="H1669" i="4"/>
  <c r="I1669" i="4" s="1"/>
  <c r="K1668" i="4"/>
  <c r="J1668" i="4"/>
  <c r="H1668" i="4"/>
  <c r="I1668" i="4" s="1"/>
  <c r="K1667" i="4"/>
  <c r="J1667" i="4"/>
  <c r="H1667" i="4"/>
  <c r="I1667" i="4" s="1"/>
  <c r="K1666" i="4"/>
  <c r="J1666" i="4"/>
  <c r="H1666" i="4"/>
  <c r="I1666" i="4" s="1"/>
  <c r="K1665" i="4"/>
  <c r="J1665" i="4"/>
  <c r="H1665" i="4"/>
  <c r="I1665" i="4" s="1"/>
  <c r="K1664" i="4"/>
  <c r="J1664" i="4"/>
  <c r="H1664" i="4"/>
  <c r="I1664" i="4" s="1"/>
  <c r="K1663" i="4"/>
  <c r="J1663" i="4"/>
  <c r="H1663" i="4"/>
  <c r="I1663" i="4" s="1"/>
  <c r="K1662" i="4"/>
  <c r="J1662" i="4"/>
  <c r="H1662" i="4"/>
  <c r="I1662" i="4" s="1"/>
  <c r="K1661" i="4"/>
  <c r="J1661" i="4"/>
  <c r="H1661" i="4"/>
  <c r="I1661" i="4" s="1"/>
  <c r="K1660" i="4"/>
  <c r="J1660" i="4"/>
  <c r="H1660" i="4"/>
  <c r="I1660" i="4" s="1"/>
  <c r="K1659" i="4"/>
  <c r="J1659" i="4"/>
  <c r="H1659" i="4"/>
  <c r="I1659" i="4" s="1"/>
  <c r="K1658" i="4"/>
  <c r="J1658" i="4"/>
  <c r="H1658" i="4"/>
  <c r="I1658" i="4" s="1"/>
  <c r="K1657" i="4"/>
  <c r="J1657" i="4"/>
  <c r="H1657" i="4"/>
  <c r="I1657" i="4" s="1"/>
  <c r="K1656" i="4"/>
  <c r="J1656" i="4"/>
  <c r="H1656" i="4"/>
  <c r="I1656" i="4" s="1"/>
  <c r="K1655" i="4"/>
  <c r="J1655" i="4"/>
  <c r="H1655" i="4"/>
  <c r="I1655" i="4" s="1"/>
  <c r="K1654" i="4"/>
  <c r="J1654" i="4"/>
  <c r="H1654" i="4"/>
  <c r="I1654" i="4" s="1"/>
  <c r="K1653" i="4"/>
  <c r="J1653" i="4"/>
  <c r="H1653" i="4"/>
  <c r="I1653" i="4" s="1"/>
  <c r="K1652" i="4"/>
  <c r="J1652" i="4"/>
  <c r="H1652" i="4"/>
  <c r="I1652" i="4" s="1"/>
  <c r="K1651" i="4"/>
  <c r="J1651" i="4"/>
  <c r="H1651" i="4"/>
  <c r="I1651" i="4" s="1"/>
  <c r="K1650" i="4"/>
  <c r="J1650" i="4"/>
  <c r="H1650" i="4"/>
  <c r="I1650" i="4" s="1"/>
  <c r="K1649" i="4"/>
  <c r="J1649" i="4"/>
  <c r="H1649" i="4"/>
  <c r="I1649" i="4" s="1"/>
  <c r="K1648" i="4"/>
  <c r="J1648" i="4"/>
  <c r="H1648" i="4"/>
  <c r="I1648" i="4" s="1"/>
  <c r="K1647" i="4"/>
  <c r="J1647" i="4"/>
  <c r="H1647" i="4"/>
  <c r="I1647" i="4" s="1"/>
  <c r="K1646" i="4"/>
  <c r="J1646" i="4"/>
  <c r="H1646" i="4"/>
  <c r="I1646" i="4" s="1"/>
  <c r="K1645" i="4"/>
  <c r="J1645" i="4"/>
  <c r="H1645" i="4"/>
  <c r="I1645" i="4" s="1"/>
  <c r="K1644" i="4"/>
  <c r="J1644" i="4"/>
  <c r="H1644" i="4"/>
  <c r="I1644" i="4" s="1"/>
  <c r="K1643" i="4"/>
  <c r="J1643" i="4"/>
  <c r="H1643" i="4"/>
  <c r="I1643" i="4" s="1"/>
  <c r="K1642" i="4"/>
  <c r="J1642" i="4"/>
  <c r="H1642" i="4"/>
  <c r="I1642" i="4" s="1"/>
  <c r="K1641" i="4"/>
  <c r="J1641" i="4"/>
  <c r="H1641" i="4"/>
  <c r="I1641" i="4" s="1"/>
  <c r="K1640" i="4"/>
  <c r="J1640" i="4"/>
  <c r="H1640" i="4"/>
  <c r="I1640" i="4" s="1"/>
  <c r="K1639" i="4"/>
  <c r="J1639" i="4"/>
  <c r="H1639" i="4"/>
  <c r="I1639" i="4" s="1"/>
  <c r="K1638" i="4"/>
  <c r="J1638" i="4"/>
  <c r="H1638" i="4"/>
  <c r="I1638" i="4" s="1"/>
  <c r="K1637" i="4"/>
  <c r="J1637" i="4"/>
  <c r="H1637" i="4"/>
  <c r="I1637" i="4" s="1"/>
  <c r="K1636" i="4"/>
  <c r="J1636" i="4"/>
  <c r="H1636" i="4"/>
  <c r="I1636" i="4" s="1"/>
  <c r="K1635" i="4"/>
  <c r="J1635" i="4"/>
  <c r="H1635" i="4"/>
  <c r="I1635" i="4" s="1"/>
  <c r="K1634" i="4"/>
  <c r="J1634" i="4"/>
  <c r="H1634" i="4"/>
  <c r="I1634" i="4" s="1"/>
  <c r="K1633" i="4"/>
  <c r="J1633" i="4"/>
  <c r="H1633" i="4"/>
  <c r="I1633" i="4" s="1"/>
  <c r="K1632" i="4"/>
  <c r="J1632" i="4"/>
  <c r="H1632" i="4"/>
  <c r="I1632" i="4" s="1"/>
  <c r="K1631" i="4"/>
  <c r="J1631" i="4"/>
  <c r="H1631" i="4"/>
  <c r="I1631" i="4" s="1"/>
  <c r="K1630" i="4"/>
  <c r="J1630" i="4"/>
  <c r="H1630" i="4"/>
  <c r="I1630" i="4" s="1"/>
  <c r="K1629" i="4"/>
  <c r="J1629" i="4"/>
  <c r="H1629" i="4"/>
  <c r="I1629" i="4" s="1"/>
  <c r="K1628" i="4"/>
  <c r="J1628" i="4"/>
  <c r="H1628" i="4"/>
  <c r="I1628" i="4" s="1"/>
  <c r="K1627" i="4"/>
  <c r="J1627" i="4"/>
  <c r="H1627" i="4"/>
  <c r="I1627" i="4" s="1"/>
  <c r="K1626" i="4"/>
  <c r="J1626" i="4"/>
  <c r="H1626" i="4"/>
  <c r="I1626" i="4" s="1"/>
  <c r="K1625" i="4"/>
  <c r="J1625" i="4"/>
  <c r="H1625" i="4"/>
  <c r="I1625" i="4" s="1"/>
  <c r="K1624" i="4"/>
  <c r="J1624" i="4"/>
  <c r="H1624" i="4"/>
  <c r="I1624" i="4" s="1"/>
  <c r="K1623" i="4"/>
  <c r="J1623" i="4"/>
  <c r="H1623" i="4"/>
  <c r="I1623" i="4" s="1"/>
  <c r="K1622" i="4"/>
  <c r="J1622" i="4"/>
  <c r="H1622" i="4"/>
  <c r="I1622" i="4" s="1"/>
  <c r="K1621" i="4"/>
  <c r="J1621" i="4"/>
  <c r="H1621" i="4"/>
  <c r="I1621" i="4" s="1"/>
  <c r="K1620" i="4"/>
  <c r="J1620" i="4"/>
  <c r="H1620" i="4"/>
  <c r="I1620" i="4" s="1"/>
  <c r="K1619" i="4"/>
  <c r="J1619" i="4"/>
  <c r="H1619" i="4"/>
  <c r="I1619" i="4" s="1"/>
  <c r="K1618" i="4"/>
  <c r="J1618" i="4"/>
  <c r="H1618" i="4"/>
  <c r="I1618" i="4" s="1"/>
  <c r="K1617" i="4"/>
  <c r="J1617" i="4"/>
  <c r="H1617" i="4"/>
  <c r="I1617" i="4" s="1"/>
  <c r="K1616" i="4"/>
  <c r="J1616" i="4"/>
  <c r="H1616" i="4"/>
  <c r="I1616" i="4" s="1"/>
  <c r="K1615" i="4"/>
  <c r="J1615" i="4"/>
  <c r="H1615" i="4"/>
  <c r="I1615" i="4" s="1"/>
  <c r="K1614" i="4"/>
  <c r="J1614" i="4"/>
  <c r="H1614" i="4"/>
  <c r="I1614" i="4" s="1"/>
  <c r="K1613" i="4"/>
  <c r="J1613" i="4"/>
  <c r="H1613" i="4"/>
  <c r="I1613" i="4" s="1"/>
  <c r="K1612" i="4"/>
  <c r="J1612" i="4"/>
  <c r="H1612" i="4"/>
  <c r="I1612" i="4" s="1"/>
  <c r="K1611" i="4"/>
  <c r="J1611" i="4"/>
  <c r="H1611" i="4"/>
  <c r="I1611" i="4" s="1"/>
  <c r="K1610" i="4"/>
  <c r="J1610" i="4"/>
  <c r="H1610" i="4"/>
  <c r="I1610" i="4" s="1"/>
  <c r="K1609" i="4"/>
  <c r="J1609" i="4"/>
  <c r="H1609" i="4"/>
  <c r="I1609" i="4" s="1"/>
  <c r="K1608" i="4"/>
  <c r="J1608" i="4"/>
  <c r="H1608" i="4"/>
  <c r="I1608" i="4" s="1"/>
  <c r="K1607" i="4"/>
  <c r="J1607" i="4"/>
  <c r="H1607" i="4"/>
  <c r="I1607" i="4" s="1"/>
  <c r="K1606" i="4"/>
  <c r="J1606" i="4"/>
  <c r="H1606" i="4"/>
  <c r="I1606" i="4" s="1"/>
  <c r="K1605" i="4"/>
  <c r="J1605" i="4"/>
  <c r="H1605" i="4"/>
  <c r="I1605" i="4" s="1"/>
  <c r="K1604" i="4"/>
  <c r="J1604" i="4"/>
  <c r="H1604" i="4"/>
  <c r="I1604" i="4" s="1"/>
  <c r="K1603" i="4"/>
  <c r="J1603" i="4"/>
  <c r="H1603" i="4"/>
  <c r="I1603" i="4" s="1"/>
  <c r="K1602" i="4"/>
  <c r="J1602" i="4"/>
  <c r="H1602" i="4"/>
  <c r="I1602" i="4" s="1"/>
  <c r="K1601" i="4"/>
  <c r="J1601" i="4"/>
  <c r="H1601" i="4"/>
  <c r="I1601" i="4" s="1"/>
  <c r="K1600" i="4"/>
  <c r="J1600" i="4"/>
  <c r="H1600" i="4"/>
  <c r="I1600" i="4" s="1"/>
  <c r="K1599" i="4"/>
  <c r="J1599" i="4"/>
  <c r="H1599" i="4"/>
  <c r="I1599" i="4" s="1"/>
  <c r="K1598" i="4"/>
  <c r="J1598" i="4"/>
  <c r="H1598" i="4"/>
  <c r="I1598" i="4" s="1"/>
  <c r="K1597" i="4"/>
  <c r="J1597" i="4"/>
  <c r="H1597" i="4"/>
  <c r="I1597" i="4" s="1"/>
  <c r="K1596" i="4"/>
  <c r="J1596" i="4"/>
  <c r="H1596" i="4"/>
  <c r="I1596" i="4" s="1"/>
  <c r="K1595" i="4"/>
  <c r="J1595" i="4"/>
  <c r="H1595" i="4"/>
  <c r="I1595" i="4" s="1"/>
  <c r="K1594" i="4"/>
  <c r="J1594" i="4"/>
  <c r="H1594" i="4"/>
  <c r="I1594" i="4" s="1"/>
  <c r="K1593" i="4"/>
  <c r="J1593" i="4"/>
  <c r="H1593" i="4"/>
  <c r="I1593" i="4" s="1"/>
  <c r="K1592" i="4"/>
  <c r="J1592" i="4"/>
  <c r="H1592" i="4"/>
  <c r="I1592" i="4" s="1"/>
  <c r="K1591" i="4"/>
  <c r="J1591" i="4"/>
  <c r="H1591" i="4"/>
  <c r="I1591" i="4" s="1"/>
  <c r="K1590" i="4"/>
  <c r="J1590" i="4"/>
  <c r="H1590" i="4"/>
  <c r="I1590" i="4" s="1"/>
  <c r="K1589" i="4"/>
  <c r="J1589" i="4"/>
  <c r="H1589" i="4"/>
  <c r="I1589" i="4" s="1"/>
  <c r="K1588" i="4"/>
  <c r="J1588" i="4"/>
  <c r="H1588" i="4"/>
  <c r="I1588" i="4" s="1"/>
  <c r="K1587" i="4"/>
  <c r="J1587" i="4"/>
  <c r="H1587" i="4"/>
  <c r="I1587" i="4" s="1"/>
  <c r="K1586" i="4"/>
  <c r="J1586" i="4"/>
  <c r="H1586" i="4"/>
  <c r="I1586" i="4" s="1"/>
  <c r="K1585" i="4"/>
  <c r="J1585" i="4"/>
  <c r="H1585" i="4"/>
  <c r="I1585" i="4" s="1"/>
  <c r="K1584" i="4"/>
  <c r="J1584" i="4"/>
  <c r="H1584" i="4"/>
  <c r="I1584" i="4" s="1"/>
  <c r="K1583" i="4"/>
  <c r="J1583" i="4"/>
  <c r="H1583" i="4"/>
  <c r="I1583" i="4" s="1"/>
  <c r="K1582" i="4"/>
  <c r="J1582" i="4"/>
  <c r="H1582" i="4"/>
  <c r="I1582" i="4" s="1"/>
  <c r="K1581" i="4"/>
  <c r="J1581" i="4"/>
  <c r="H1581" i="4"/>
  <c r="I1581" i="4" s="1"/>
  <c r="K1580" i="4"/>
  <c r="J1580" i="4"/>
  <c r="H1580" i="4"/>
  <c r="I1580" i="4" s="1"/>
  <c r="K1579" i="4"/>
  <c r="J1579" i="4"/>
  <c r="H1579" i="4"/>
  <c r="I1579" i="4" s="1"/>
  <c r="K1578" i="4"/>
  <c r="J1578" i="4"/>
  <c r="H1578" i="4"/>
  <c r="I1578" i="4" s="1"/>
  <c r="K1577" i="4"/>
  <c r="J1577" i="4"/>
  <c r="H1577" i="4"/>
  <c r="I1577" i="4" s="1"/>
  <c r="K1576" i="4"/>
  <c r="J1576" i="4"/>
  <c r="H1576" i="4"/>
  <c r="I1576" i="4" s="1"/>
  <c r="K1575" i="4"/>
  <c r="J1575" i="4"/>
  <c r="H1575" i="4"/>
  <c r="I1575" i="4" s="1"/>
  <c r="K1574" i="4"/>
  <c r="J1574" i="4"/>
  <c r="H1574" i="4"/>
  <c r="I1574" i="4" s="1"/>
  <c r="K1573" i="4"/>
  <c r="J1573" i="4"/>
  <c r="H1573" i="4"/>
  <c r="I1573" i="4" s="1"/>
  <c r="K1572" i="4"/>
  <c r="J1572" i="4"/>
  <c r="H1572" i="4"/>
  <c r="I1572" i="4" s="1"/>
  <c r="K1571" i="4"/>
  <c r="J1571" i="4"/>
  <c r="H1571" i="4"/>
  <c r="I1571" i="4" s="1"/>
  <c r="K1570" i="4"/>
  <c r="J1570" i="4"/>
  <c r="H1570" i="4"/>
  <c r="I1570" i="4" s="1"/>
  <c r="K1569" i="4"/>
  <c r="J1569" i="4"/>
  <c r="H1569" i="4"/>
  <c r="I1569" i="4" s="1"/>
  <c r="K1568" i="4"/>
  <c r="J1568" i="4"/>
  <c r="H1568" i="4"/>
  <c r="I1568" i="4" s="1"/>
  <c r="K1567" i="4"/>
  <c r="J1567" i="4"/>
  <c r="H1567" i="4"/>
  <c r="I1567" i="4" s="1"/>
  <c r="K1566" i="4"/>
  <c r="J1566" i="4"/>
  <c r="H1566" i="4"/>
  <c r="I1566" i="4" s="1"/>
  <c r="K1565" i="4"/>
  <c r="J1565" i="4"/>
  <c r="H1565" i="4"/>
  <c r="I1565" i="4" s="1"/>
  <c r="K1564" i="4"/>
  <c r="J1564" i="4"/>
  <c r="H1564" i="4"/>
  <c r="I1564" i="4" s="1"/>
  <c r="K1563" i="4"/>
  <c r="J1563" i="4"/>
  <c r="H1563" i="4"/>
  <c r="I1563" i="4" s="1"/>
  <c r="K1562" i="4"/>
  <c r="J1562" i="4"/>
  <c r="H1562" i="4"/>
  <c r="I1562" i="4" s="1"/>
  <c r="K1561" i="4"/>
  <c r="J1561" i="4"/>
  <c r="H1561" i="4"/>
  <c r="I1561" i="4" s="1"/>
  <c r="K1560" i="4"/>
  <c r="J1560" i="4"/>
  <c r="H1560" i="4"/>
  <c r="I1560" i="4" s="1"/>
  <c r="K1559" i="4"/>
  <c r="J1559" i="4"/>
  <c r="H1559" i="4"/>
  <c r="I1559" i="4" s="1"/>
  <c r="K1558" i="4"/>
  <c r="J1558" i="4"/>
  <c r="H1558" i="4"/>
  <c r="I1558" i="4" s="1"/>
  <c r="K1557" i="4"/>
  <c r="J1557" i="4"/>
  <c r="H1557" i="4"/>
  <c r="I1557" i="4" s="1"/>
  <c r="K1556" i="4"/>
  <c r="J1556" i="4"/>
  <c r="H1556" i="4"/>
  <c r="I1556" i="4" s="1"/>
  <c r="K1555" i="4"/>
  <c r="J1555" i="4"/>
  <c r="H1555" i="4"/>
  <c r="I1555" i="4" s="1"/>
  <c r="K1554" i="4"/>
  <c r="J1554" i="4"/>
  <c r="H1554" i="4"/>
  <c r="I1554" i="4" s="1"/>
  <c r="K1553" i="4"/>
  <c r="J1553" i="4"/>
  <c r="H1553" i="4"/>
  <c r="I1553" i="4" s="1"/>
  <c r="K1552" i="4"/>
  <c r="J1552" i="4"/>
  <c r="H1552" i="4"/>
  <c r="I1552" i="4" s="1"/>
  <c r="K1551" i="4"/>
  <c r="J1551" i="4"/>
  <c r="H1551" i="4"/>
  <c r="I1551" i="4" s="1"/>
  <c r="K1550" i="4"/>
  <c r="J1550" i="4"/>
  <c r="H1550" i="4"/>
  <c r="I1550" i="4" s="1"/>
  <c r="K1549" i="4"/>
  <c r="J1549" i="4"/>
  <c r="H1549" i="4"/>
  <c r="I1549" i="4" s="1"/>
  <c r="K1548" i="4"/>
  <c r="J1548" i="4"/>
  <c r="H1548" i="4"/>
  <c r="I1548" i="4" s="1"/>
  <c r="K1547" i="4"/>
  <c r="J1547" i="4"/>
  <c r="H1547" i="4"/>
  <c r="I1547" i="4" s="1"/>
  <c r="K1546" i="4"/>
  <c r="J1546" i="4"/>
  <c r="H1546" i="4"/>
  <c r="I1546" i="4" s="1"/>
  <c r="K1545" i="4"/>
  <c r="J1545" i="4"/>
  <c r="H1545" i="4"/>
  <c r="I1545" i="4" s="1"/>
  <c r="K1544" i="4"/>
  <c r="J1544" i="4"/>
  <c r="H1544" i="4"/>
  <c r="I1544" i="4" s="1"/>
  <c r="K1543" i="4"/>
  <c r="J1543" i="4"/>
  <c r="H1543" i="4"/>
  <c r="I1543" i="4" s="1"/>
  <c r="K1542" i="4"/>
  <c r="J1542" i="4"/>
  <c r="H1542" i="4"/>
  <c r="I1542" i="4" s="1"/>
  <c r="K1541" i="4"/>
  <c r="J1541" i="4"/>
  <c r="H1541" i="4"/>
  <c r="I1541" i="4" s="1"/>
  <c r="K1540" i="4"/>
  <c r="J1540" i="4"/>
  <c r="H1540" i="4"/>
  <c r="I1540" i="4" s="1"/>
  <c r="K1539" i="4"/>
  <c r="J1539" i="4"/>
  <c r="H1539" i="4"/>
  <c r="I1539" i="4" s="1"/>
  <c r="K1538" i="4"/>
  <c r="J1538" i="4"/>
  <c r="H1538" i="4"/>
  <c r="I1538" i="4" s="1"/>
  <c r="K1537" i="4"/>
  <c r="J1537" i="4"/>
  <c r="H1537" i="4"/>
  <c r="I1537" i="4" s="1"/>
  <c r="K1536" i="4"/>
  <c r="J1536" i="4"/>
  <c r="H1536" i="4"/>
  <c r="I1536" i="4" s="1"/>
  <c r="K1535" i="4"/>
  <c r="J1535" i="4"/>
  <c r="H1535" i="4"/>
  <c r="I1535" i="4" s="1"/>
  <c r="K1534" i="4"/>
  <c r="J1534" i="4"/>
  <c r="H1534" i="4"/>
  <c r="I1534" i="4" s="1"/>
  <c r="K1533" i="4"/>
  <c r="J1533" i="4"/>
  <c r="H1533" i="4"/>
  <c r="I1533" i="4" s="1"/>
  <c r="K1532" i="4"/>
  <c r="J1532" i="4"/>
  <c r="H1532" i="4"/>
  <c r="I1532" i="4" s="1"/>
  <c r="K1531" i="4"/>
  <c r="J1531" i="4"/>
  <c r="H1531" i="4"/>
  <c r="I1531" i="4" s="1"/>
  <c r="K1530" i="4"/>
  <c r="J1530" i="4"/>
  <c r="H1530" i="4"/>
  <c r="I1530" i="4" s="1"/>
  <c r="K1529" i="4"/>
  <c r="J1529" i="4"/>
  <c r="H1529" i="4"/>
  <c r="I1529" i="4" s="1"/>
  <c r="K1528" i="4"/>
  <c r="J1528" i="4"/>
  <c r="H1528" i="4"/>
  <c r="I1528" i="4" s="1"/>
  <c r="K1527" i="4"/>
  <c r="J1527" i="4"/>
  <c r="H1527" i="4"/>
  <c r="I1527" i="4" s="1"/>
  <c r="K1526" i="4"/>
  <c r="J1526" i="4"/>
  <c r="H1526" i="4"/>
  <c r="I1526" i="4" s="1"/>
  <c r="K1525" i="4"/>
  <c r="J1525" i="4"/>
  <c r="H1525" i="4"/>
  <c r="I1525" i="4" s="1"/>
  <c r="K1524" i="4"/>
  <c r="J1524" i="4"/>
  <c r="H1524" i="4"/>
  <c r="I1524" i="4" s="1"/>
  <c r="K1523" i="4"/>
  <c r="J1523" i="4"/>
  <c r="H1523" i="4"/>
  <c r="I1523" i="4" s="1"/>
  <c r="K1522" i="4"/>
  <c r="J1522" i="4"/>
  <c r="H1522" i="4"/>
  <c r="I1522" i="4" s="1"/>
  <c r="K1521" i="4"/>
  <c r="J1521" i="4"/>
  <c r="H1521" i="4"/>
  <c r="I1521" i="4" s="1"/>
  <c r="K1520" i="4"/>
  <c r="J1520" i="4"/>
  <c r="H1520" i="4"/>
  <c r="I1520" i="4" s="1"/>
  <c r="K1519" i="4"/>
  <c r="J1519" i="4"/>
  <c r="H1519" i="4"/>
  <c r="I1519" i="4" s="1"/>
  <c r="K1518" i="4"/>
  <c r="J1518" i="4"/>
  <c r="H1518" i="4"/>
  <c r="I1518" i="4" s="1"/>
  <c r="K1517" i="4"/>
  <c r="J1517" i="4"/>
  <c r="H1517" i="4"/>
  <c r="I1517" i="4" s="1"/>
  <c r="K1516" i="4"/>
  <c r="J1516" i="4"/>
  <c r="H1516" i="4"/>
  <c r="I1516" i="4" s="1"/>
  <c r="K1515" i="4"/>
  <c r="J1515" i="4"/>
  <c r="H1515" i="4"/>
  <c r="I1515" i="4" s="1"/>
  <c r="K1514" i="4"/>
  <c r="J1514" i="4"/>
  <c r="H1514" i="4"/>
  <c r="I1514" i="4" s="1"/>
  <c r="K1513" i="4"/>
  <c r="J1513" i="4"/>
  <c r="H1513" i="4"/>
  <c r="I1513" i="4" s="1"/>
  <c r="K1512" i="4"/>
  <c r="J1512" i="4"/>
  <c r="H1512" i="4"/>
  <c r="I1512" i="4" s="1"/>
  <c r="K1511" i="4"/>
  <c r="J1511" i="4"/>
  <c r="H1511" i="4"/>
  <c r="I1511" i="4" s="1"/>
  <c r="K1510" i="4"/>
  <c r="J1510" i="4"/>
  <c r="H1510" i="4"/>
  <c r="I1510" i="4" s="1"/>
  <c r="K1509" i="4"/>
  <c r="J1509" i="4"/>
  <c r="H1509" i="4"/>
  <c r="I1509" i="4" s="1"/>
  <c r="K1508" i="4"/>
  <c r="J1508" i="4"/>
  <c r="H1508" i="4"/>
  <c r="I1508" i="4" s="1"/>
  <c r="K1507" i="4"/>
  <c r="J1507" i="4"/>
  <c r="H1507" i="4"/>
  <c r="I1507" i="4" s="1"/>
  <c r="K1506" i="4"/>
  <c r="J1506" i="4"/>
  <c r="H1506" i="4"/>
  <c r="I1506" i="4" s="1"/>
  <c r="K1505" i="4"/>
  <c r="J1505" i="4"/>
  <c r="H1505" i="4"/>
  <c r="I1505" i="4" s="1"/>
  <c r="K1504" i="4"/>
  <c r="J1504" i="4"/>
  <c r="H1504" i="4"/>
  <c r="I1504" i="4" s="1"/>
  <c r="K1503" i="4"/>
  <c r="J1503" i="4"/>
  <c r="H1503" i="4"/>
  <c r="I1503" i="4" s="1"/>
  <c r="K1502" i="4"/>
  <c r="J1502" i="4"/>
  <c r="H1502" i="4"/>
  <c r="I1502" i="4" s="1"/>
  <c r="K1501" i="4"/>
  <c r="J1501" i="4"/>
  <c r="H1501" i="4"/>
  <c r="I1501" i="4" s="1"/>
  <c r="K1500" i="4"/>
  <c r="J1500" i="4"/>
  <c r="H1500" i="4"/>
  <c r="I1500" i="4" s="1"/>
  <c r="K1499" i="4"/>
  <c r="J1499" i="4"/>
  <c r="H1499" i="4"/>
  <c r="I1499" i="4" s="1"/>
  <c r="K1498" i="4"/>
  <c r="J1498" i="4"/>
  <c r="H1498" i="4"/>
  <c r="I1498" i="4" s="1"/>
  <c r="K1497" i="4"/>
  <c r="J1497" i="4"/>
  <c r="H1497" i="4"/>
  <c r="I1497" i="4" s="1"/>
  <c r="K1496" i="4"/>
  <c r="J1496" i="4"/>
  <c r="H1496" i="4"/>
  <c r="I1496" i="4" s="1"/>
  <c r="K1495" i="4"/>
  <c r="J1495" i="4"/>
  <c r="H1495" i="4"/>
  <c r="I1495" i="4" s="1"/>
  <c r="K1494" i="4"/>
  <c r="J1494" i="4"/>
  <c r="H1494" i="4"/>
  <c r="I1494" i="4" s="1"/>
  <c r="K1493" i="4"/>
  <c r="J1493" i="4"/>
  <c r="H1493" i="4"/>
  <c r="I1493" i="4" s="1"/>
  <c r="K1492" i="4"/>
  <c r="J1492" i="4"/>
  <c r="H1492" i="4"/>
  <c r="I1492" i="4" s="1"/>
  <c r="K1491" i="4"/>
  <c r="J1491" i="4"/>
  <c r="H1491" i="4"/>
  <c r="I1491" i="4" s="1"/>
  <c r="K1490" i="4"/>
  <c r="J1490" i="4"/>
  <c r="H1490" i="4"/>
  <c r="I1490" i="4" s="1"/>
  <c r="K1489" i="4"/>
  <c r="J1489" i="4"/>
  <c r="H1489" i="4"/>
  <c r="I1489" i="4" s="1"/>
  <c r="K1488" i="4"/>
  <c r="J1488" i="4"/>
  <c r="H1488" i="4"/>
  <c r="I1488" i="4" s="1"/>
  <c r="K1487" i="4"/>
  <c r="J1487" i="4"/>
  <c r="H1487" i="4"/>
  <c r="I1487" i="4" s="1"/>
  <c r="K1486" i="4"/>
  <c r="J1486" i="4"/>
  <c r="H1486" i="4"/>
  <c r="I1486" i="4" s="1"/>
  <c r="K1485" i="4"/>
  <c r="J1485" i="4"/>
  <c r="H1485" i="4"/>
  <c r="I1485" i="4" s="1"/>
  <c r="K1484" i="4"/>
  <c r="J1484" i="4"/>
  <c r="H1484" i="4"/>
  <c r="I1484" i="4" s="1"/>
  <c r="K1483" i="4"/>
  <c r="J1483" i="4"/>
  <c r="H1483" i="4"/>
  <c r="I1483" i="4" s="1"/>
  <c r="K1482" i="4"/>
  <c r="J1482" i="4"/>
  <c r="H1482" i="4"/>
  <c r="I1482" i="4" s="1"/>
  <c r="K1481" i="4"/>
  <c r="J1481" i="4"/>
  <c r="H1481" i="4"/>
  <c r="I1481" i="4" s="1"/>
  <c r="K1480" i="4"/>
  <c r="J1480" i="4"/>
  <c r="H1480" i="4"/>
  <c r="I1480" i="4" s="1"/>
  <c r="K1479" i="4"/>
  <c r="J1479" i="4"/>
  <c r="H1479" i="4"/>
  <c r="I1479" i="4" s="1"/>
  <c r="K1478" i="4"/>
  <c r="J1478" i="4"/>
  <c r="H1478" i="4"/>
  <c r="I1478" i="4" s="1"/>
  <c r="K1477" i="4"/>
  <c r="J1477" i="4"/>
  <c r="H1477" i="4"/>
  <c r="I1477" i="4" s="1"/>
  <c r="K1476" i="4"/>
  <c r="J1476" i="4"/>
  <c r="H1476" i="4"/>
  <c r="I1476" i="4" s="1"/>
  <c r="K1475" i="4"/>
  <c r="J1475" i="4"/>
  <c r="H1475" i="4"/>
  <c r="I1475" i="4" s="1"/>
  <c r="K1474" i="4"/>
  <c r="J1474" i="4"/>
  <c r="H1474" i="4"/>
  <c r="I1474" i="4" s="1"/>
  <c r="K1473" i="4"/>
  <c r="J1473" i="4"/>
  <c r="H1473" i="4"/>
  <c r="I1473" i="4" s="1"/>
  <c r="K1472" i="4"/>
  <c r="J1472" i="4"/>
  <c r="H1472" i="4"/>
  <c r="I1472" i="4" s="1"/>
  <c r="K1471" i="4"/>
  <c r="J1471" i="4"/>
  <c r="H1471" i="4"/>
  <c r="I1471" i="4" s="1"/>
  <c r="K1470" i="4"/>
  <c r="J1470" i="4"/>
  <c r="H1470" i="4"/>
  <c r="I1470" i="4" s="1"/>
  <c r="K1469" i="4"/>
  <c r="J1469" i="4"/>
  <c r="H1469" i="4"/>
  <c r="I1469" i="4" s="1"/>
  <c r="K1468" i="4"/>
  <c r="J1468" i="4"/>
  <c r="H1468" i="4"/>
  <c r="I1468" i="4" s="1"/>
  <c r="K1467" i="4"/>
  <c r="J1467" i="4"/>
  <c r="H1467" i="4"/>
  <c r="I1467" i="4" s="1"/>
  <c r="K1466" i="4"/>
  <c r="J1466" i="4"/>
  <c r="H1466" i="4"/>
  <c r="I1466" i="4" s="1"/>
  <c r="K1465" i="4"/>
  <c r="J1465" i="4"/>
  <c r="H1465" i="4"/>
  <c r="I1465" i="4" s="1"/>
  <c r="K1464" i="4"/>
  <c r="J1464" i="4"/>
  <c r="H1464" i="4"/>
  <c r="I1464" i="4" s="1"/>
  <c r="K1463" i="4"/>
  <c r="J1463" i="4"/>
  <c r="H1463" i="4"/>
  <c r="I1463" i="4" s="1"/>
  <c r="K1462" i="4"/>
  <c r="J1462" i="4"/>
  <c r="H1462" i="4"/>
  <c r="I1462" i="4" s="1"/>
  <c r="K1461" i="4"/>
  <c r="J1461" i="4"/>
  <c r="H1461" i="4"/>
  <c r="I1461" i="4" s="1"/>
  <c r="K1460" i="4"/>
  <c r="J1460" i="4"/>
  <c r="H1460" i="4"/>
  <c r="I1460" i="4" s="1"/>
  <c r="K1459" i="4"/>
  <c r="J1459" i="4"/>
  <c r="H1459" i="4"/>
  <c r="I1459" i="4" s="1"/>
  <c r="K1458" i="4"/>
  <c r="J1458" i="4"/>
  <c r="H1458" i="4"/>
  <c r="I1458" i="4" s="1"/>
  <c r="K1457" i="4"/>
  <c r="J1457" i="4"/>
  <c r="H1457" i="4"/>
  <c r="I1457" i="4" s="1"/>
  <c r="K1456" i="4"/>
  <c r="J1456" i="4"/>
  <c r="H1456" i="4"/>
  <c r="I1456" i="4" s="1"/>
  <c r="K1455" i="4"/>
  <c r="J1455" i="4"/>
  <c r="H1455" i="4"/>
  <c r="I1455" i="4" s="1"/>
  <c r="K1454" i="4"/>
  <c r="J1454" i="4"/>
  <c r="H1454" i="4"/>
  <c r="I1454" i="4" s="1"/>
  <c r="K1453" i="4"/>
  <c r="J1453" i="4"/>
  <c r="H1453" i="4"/>
  <c r="I1453" i="4" s="1"/>
  <c r="K1452" i="4"/>
  <c r="J1452" i="4"/>
  <c r="H1452" i="4"/>
  <c r="I1452" i="4" s="1"/>
  <c r="K1451" i="4"/>
  <c r="J1451" i="4"/>
  <c r="H1451" i="4"/>
  <c r="I1451" i="4" s="1"/>
  <c r="K1450" i="4"/>
  <c r="J1450" i="4"/>
  <c r="H1450" i="4"/>
  <c r="I1450" i="4" s="1"/>
  <c r="K1449" i="4"/>
  <c r="J1449" i="4"/>
  <c r="H1449" i="4"/>
  <c r="I1449" i="4" s="1"/>
  <c r="K1448" i="4"/>
  <c r="J1448" i="4"/>
  <c r="H1448" i="4"/>
  <c r="I1448" i="4" s="1"/>
  <c r="K1447" i="4"/>
  <c r="J1447" i="4"/>
  <c r="H1447" i="4"/>
  <c r="I1447" i="4" s="1"/>
  <c r="K1446" i="4"/>
  <c r="J1446" i="4"/>
  <c r="H1446" i="4"/>
  <c r="I1446" i="4" s="1"/>
  <c r="K1445" i="4"/>
  <c r="J1445" i="4"/>
  <c r="H1445" i="4"/>
  <c r="I1445" i="4" s="1"/>
  <c r="K1444" i="4"/>
  <c r="J1444" i="4"/>
  <c r="H1444" i="4"/>
  <c r="I1444" i="4" s="1"/>
  <c r="K1443" i="4"/>
  <c r="J1443" i="4"/>
  <c r="H1443" i="4"/>
  <c r="I1443" i="4" s="1"/>
  <c r="K1442" i="4"/>
  <c r="J1442" i="4"/>
  <c r="H1442" i="4"/>
  <c r="I1442" i="4" s="1"/>
  <c r="K1441" i="4"/>
  <c r="J1441" i="4"/>
  <c r="H1441" i="4"/>
  <c r="I1441" i="4" s="1"/>
  <c r="K1440" i="4"/>
  <c r="J1440" i="4"/>
  <c r="H1440" i="4"/>
  <c r="I1440" i="4" s="1"/>
  <c r="K1439" i="4"/>
  <c r="J1439" i="4"/>
  <c r="H1439" i="4"/>
  <c r="I1439" i="4" s="1"/>
  <c r="K1438" i="4"/>
  <c r="J1438" i="4"/>
  <c r="H1438" i="4"/>
  <c r="I1438" i="4" s="1"/>
  <c r="K1437" i="4"/>
  <c r="J1437" i="4"/>
  <c r="H1437" i="4"/>
  <c r="I1437" i="4" s="1"/>
  <c r="K1436" i="4"/>
  <c r="J1436" i="4"/>
  <c r="H1436" i="4"/>
  <c r="I1436" i="4" s="1"/>
  <c r="K1435" i="4"/>
  <c r="J1435" i="4"/>
  <c r="H1435" i="4"/>
  <c r="I1435" i="4" s="1"/>
  <c r="K1434" i="4"/>
  <c r="J1434" i="4"/>
  <c r="H1434" i="4"/>
  <c r="I1434" i="4" s="1"/>
  <c r="K1433" i="4"/>
  <c r="J1433" i="4"/>
  <c r="H1433" i="4"/>
  <c r="I1433" i="4" s="1"/>
  <c r="K1432" i="4"/>
  <c r="J1432" i="4"/>
  <c r="H1432" i="4"/>
  <c r="I1432" i="4" s="1"/>
  <c r="K1431" i="4"/>
  <c r="J1431" i="4"/>
  <c r="H1431" i="4"/>
  <c r="I1431" i="4" s="1"/>
  <c r="K1430" i="4"/>
  <c r="J1430" i="4"/>
  <c r="H1430" i="4"/>
  <c r="I1430" i="4" s="1"/>
  <c r="K1429" i="4"/>
  <c r="J1429" i="4"/>
  <c r="H1429" i="4"/>
  <c r="I1429" i="4" s="1"/>
  <c r="K1428" i="4"/>
  <c r="J1428" i="4"/>
  <c r="H1428" i="4"/>
  <c r="I1428" i="4" s="1"/>
  <c r="K1427" i="4"/>
  <c r="J1427" i="4"/>
  <c r="H1427" i="4"/>
  <c r="I1427" i="4" s="1"/>
  <c r="K1426" i="4"/>
  <c r="J1426" i="4"/>
  <c r="H1426" i="4"/>
  <c r="I1426" i="4" s="1"/>
  <c r="K1425" i="4"/>
  <c r="J1425" i="4"/>
  <c r="H1425" i="4"/>
  <c r="I1425" i="4" s="1"/>
  <c r="K1424" i="4"/>
  <c r="J1424" i="4"/>
  <c r="H1424" i="4"/>
  <c r="I1424" i="4" s="1"/>
  <c r="K1423" i="4"/>
  <c r="J1423" i="4"/>
  <c r="H1423" i="4"/>
  <c r="I1423" i="4" s="1"/>
  <c r="K1422" i="4"/>
  <c r="J1422" i="4"/>
  <c r="H1422" i="4"/>
  <c r="I1422" i="4" s="1"/>
  <c r="K1421" i="4"/>
  <c r="J1421" i="4"/>
  <c r="H1421" i="4"/>
  <c r="I1421" i="4" s="1"/>
  <c r="K1420" i="4"/>
  <c r="J1420" i="4"/>
  <c r="H1420" i="4"/>
  <c r="I1420" i="4" s="1"/>
  <c r="K1419" i="4"/>
  <c r="J1419" i="4"/>
  <c r="H1419" i="4"/>
  <c r="I1419" i="4" s="1"/>
  <c r="K1418" i="4"/>
  <c r="J1418" i="4"/>
  <c r="H1418" i="4"/>
  <c r="I1418" i="4" s="1"/>
  <c r="K1417" i="4"/>
  <c r="J1417" i="4"/>
  <c r="H1417" i="4"/>
  <c r="I1417" i="4" s="1"/>
  <c r="K1416" i="4"/>
  <c r="J1416" i="4"/>
  <c r="H1416" i="4"/>
  <c r="I1416" i="4" s="1"/>
  <c r="K1415" i="4"/>
  <c r="J1415" i="4"/>
  <c r="H1415" i="4"/>
  <c r="I1415" i="4" s="1"/>
  <c r="K1414" i="4"/>
  <c r="J1414" i="4"/>
  <c r="H1414" i="4"/>
  <c r="I1414" i="4" s="1"/>
  <c r="K1413" i="4"/>
  <c r="J1413" i="4"/>
  <c r="H1413" i="4"/>
  <c r="I1413" i="4" s="1"/>
  <c r="K1412" i="4"/>
  <c r="J1412" i="4"/>
  <c r="H1412" i="4"/>
  <c r="I1412" i="4" s="1"/>
  <c r="K1411" i="4"/>
  <c r="J1411" i="4"/>
  <c r="H1411" i="4"/>
  <c r="I1411" i="4" s="1"/>
  <c r="K1410" i="4"/>
  <c r="J1410" i="4"/>
  <c r="H1410" i="4"/>
  <c r="I1410" i="4" s="1"/>
  <c r="K1409" i="4"/>
  <c r="J1409" i="4"/>
  <c r="H1409" i="4"/>
  <c r="I1409" i="4" s="1"/>
  <c r="K1408" i="4"/>
  <c r="J1408" i="4"/>
  <c r="H1408" i="4"/>
  <c r="I1408" i="4" s="1"/>
  <c r="K1407" i="4"/>
  <c r="J1407" i="4"/>
  <c r="H1407" i="4"/>
  <c r="I1407" i="4" s="1"/>
  <c r="K1406" i="4"/>
  <c r="J1406" i="4"/>
  <c r="H1406" i="4"/>
  <c r="I1406" i="4" s="1"/>
  <c r="K1405" i="4"/>
  <c r="J1405" i="4"/>
  <c r="H1405" i="4"/>
  <c r="I1405" i="4" s="1"/>
  <c r="K1404" i="4"/>
  <c r="J1404" i="4"/>
  <c r="H1404" i="4"/>
  <c r="I1404" i="4" s="1"/>
  <c r="K1403" i="4"/>
  <c r="J1403" i="4"/>
  <c r="H1403" i="4"/>
  <c r="I1403" i="4" s="1"/>
  <c r="K1402" i="4"/>
  <c r="J1402" i="4"/>
  <c r="H1402" i="4"/>
  <c r="I1402" i="4" s="1"/>
  <c r="K1401" i="4"/>
  <c r="J1401" i="4"/>
  <c r="H1401" i="4"/>
  <c r="I1401" i="4" s="1"/>
  <c r="K1400" i="4"/>
  <c r="J1400" i="4"/>
  <c r="H1400" i="4"/>
  <c r="I1400" i="4" s="1"/>
  <c r="K1399" i="4"/>
  <c r="J1399" i="4"/>
  <c r="H1399" i="4"/>
  <c r="I1399" i="4" s="1"/>
  <c r="K1398" i="4"/>
  <c r="J1398" i="4"/>
  <c r="H1398" i="4"/>
  <c r="I1398" i="4" s="1"/>
  <c r="K1397" i="4"/>
  <c r="J1397" i="4"/>
  <c r="H1397" i="4"/>
  <c r="I1397" i="4" s="1"/>
  <c r="K1396" i="4"/>
  <c r="J1396" i="4"/>
  <c r="H1396" i="4"/>
  <c r="I1396" i="4" s="1"/>
  <c r="K1395" i="4"/>
  <c r="J1395" i="4"/>
  <c r="H1395" i="4"/>
  <c r="I1395" i="4" s="1"/>
  <c r="K1394" i="4"/>
  <c r="J1394" i="4"/>
  <c r="H1394" i="4"/>
  <c r="I1394" i="4" s="1"/>
  <c r="K1393" i="4"/>
  <c r="J1393" i="4"/>
  <c r="H1393" i="4"/>
  <c r="I1393" i="4" s="1"/>
  <c r="K1392" i="4"/>
  <c r="J1392" i="4"/>
  <c r="H1392" i="4"/>
  <c r="I1392" i="4" s="1"/>
  <c r="K1391" i="4"/>
  <c r="J1391" i="4"/>
  <c r="H1391" i="4"/>
  <c r="I1391" i="4" s="1"/>
  <c r="K1390" i="4"/>
  <c r="J1390" i="4"/>
  <c r="H1390" i="4"/>
  <c r="I1390" i="4" s="1"/>
  <c r="K1389" i="4"/>
  <c r="J1389" i="4"/>
  <c r="H1389" i="4"/>
  <c r="I1389" i="4" s="1"/>
  <c r="K1388" i="4"/>
  <c r="J1388" i="4"/>
  <c r="H1388" i="4"/>
  <c r="I1388" i="4" s="1"/>
  <c r="K1387" i="4"/>
  <c r="J1387" i="4"/>
  <c r="H1387" i="4"/>
  <c r="I1387" i="4" s="1"/>
  <c r="K1386" i="4"/>
  <c r="J1386" i="4"/>
  <c r="H1386" i="4"/>
  <c r="I1386" i="4" s="1"/>
  <c r="K1385" i="4"/>
  <c r="J1385" i="4"/>
  <c r="H1385" i="4"/>
  <c r="I1385" i="4" s="1"/>
  <c r="K1384" i="4"/>
  <c r="J1384" i="4"/>
  <c r="H1384" i="4"/>
  <c r="I1384" i="4" s="1"/>
  <c r="K1383" i="4"/>
  <c r="J1383" i="4"/>
  <c r="H1383" i="4"/>
  <c r="I1383" i="4" s="1"/>
  <c r="K1382" i="4"/>
  <c r="J1382" i="4"/>
  <c r="H1382" i="4"/>
  <c r="I1382" i="4" s="1"/>
  <c r="K1381" i="4"/>
  <c r="J1381" i="4"/>
  <c r="H1381" i="4"/>
  <c r="I1381" i="4" s="1"/>
  <c r="K1380" i="4"/>
  <c r="J1380" i="4"/>
  <c r="H1380" i="4"/>
  <c r="I1380" i="4" s="1"/>
  <c r="K1379" i="4"/>
  <c r="J1379" i="4"/>
  <c r="H1379" i="4"/>
  <c r="I1379" i="4" s="1"/>
  <c r="K1378" i="4"/>
  <c r="J1378" i="4"/>
  <c r="H1378" i="4"/>
  <c r="I1378" i="4" s="1"/>
  <c r="K1377" i="4"/>
  <c r="J1377" i="4"/>
  <c r="H1377" i="4"/>
  <c r="I1377" i="4" s="1"/>
  <c r="K1376" i="4"/>
  <c r="J1376" i="4"/>
  <c r="H1376" i="4"/>
  <c r="I1376" i="4" s="1"/>
  <c r="K1375" i="4"/>
  <c r="J1375" i="4"/>
  <c r="H1375" i="4"/>
  <c r="I1375" i="4" s="1"/>
  <c r="K1374" i="4"/>
  <c r="J1374" i="4"/>
  <c r="H1374" i="4"/>
  <c r="I1374" i="4" s="1"/>
  <c r="K1373" i="4"/>
  <c r="J1373" i="4"/>
  <c r="H1373" i="4"/>
  <c r="I1373" i="4" s="1"/>
  <c r="K1372" i="4"/>
  <c r="J1372" i="4"/>
  <c r="H1372" i="4"/>
  <c r="I1372" i="4" s="1"/>
  <c r="K1371" i="4"/>
  <c r="J1371" i="4"/>
  <c r="H1371" i="4"/>
  <c r="I1371" i="4" s="1"/>
  <c r="K1370" i="4"/>
  <c r="J1370" i="4"/>
  <c r="H1370" i="4"/>
  <c r="I1370" i="4" s="1"/>
  <c r="K1369" i="4"/>
  <c r="J1369" i="4"/>
  <c r="H1369" i="4"/>
  <c r="I1369" i="4" s="1"/>
  <c r="K1368" i="4"/>
  <c r="J1368" i="4"/>
  <c r="H1368" i="4"/>
  <c r="I1368" i="4" s="1"/>
  <c r="K1367" i="4"/>
  <c r="J1367" i="4"/>
  <c r="H1367" i="4"/>
  <c r="I1367" i="4" s="1"/>
  <c r="K1366" i="4"/>
  <c r="J1366" i="4"/>
  <c r="H1366" i="4"/>
  <c r="I1366" i="4" s="1"/>
  <c r="K1365" i="4"/>
  <c r="J1365" i="4"/>
  <c r="H1365" i="4"/>
  <c r="I1365" i="4" s="1"/>
  <c r="K1364" i="4"/>
  <c r="J1364" i="4"/>
  <c r="H1364" i="4"/>
  <c r="I1364" i="4" s="1"/>
  <c r="K1363" i="4"/>
  <c r="J1363" i="4"/>
  <c r="H1363" i="4"/>
  <c r="I1363" i="4" s="1"/>
  <c r="K1362" i="4"/>
  <c r="J1362" i="4"/>
  <c r="H1362" i="4"/>
  <c r="I1362" i="4" s="1"/>
  <c r="K1361" i="4"/>
  <c r="J1361" i="4"/>
  <c r="H1361" i="4"/>
  <c r="I1361" i="4" s="1"/>
  <c r="K1360" i="4"/>
  <c r="J1360" i="4"/>
  <c r="H1360" i="4"/>
  <c r="I1360" i="4" s="1"/>
  <c r="K1359" i="4"/>
  <c r="J1359" i="4"/>
  <c r="H1359" i="4"/>
  <c r="I1359" i="4" s="1"/>
  <c r="K1358" i="4"/>
  <c r="J1358" i="4"/>
  <c r="H1358" i="4"/>
  <c r="I1358" i="4" s="1"/>
  <c r="K1357" i="4"/>
  <c r="J1357" i="4"/>
  <c r="H1357" i="4"/>
  <c r="I1357" i="4" s="1"/>
  <c r="K1356" i="4"/>
  <c r="J1356" i="4"/>
  <c r="H1356" i="4"/>
  <c r="I1356" i="4" s="1"/>
  <c r="K1355" i="4"/>
  <c r="J1355" i="4"/>
  <c r="H1355" i="4"/>
  <c r="I1355" i="4" s="1"/>
  <c r="K1354" i="4"/>
  <c r="J1354" i="4"/>
  <c r="H1354" i="4"/>
  <c r="I1354" i="4" s="1"/>
  <c r="K1353" i="4"/>
  <c r="J1353" i="4"/>
  <c r="H1353" i="4"/>
  <c r="I1353" i="4" s="1"/>
  <c r="K1352" i="4"/>
  <c r="J1352" i="4"/>
  <c r="H1352" i="4"/>
  <c r="I1352" i="4" s="1"/>
  <c r="K1351" i="4"/>
  <c r="J1351" i="4"/>
  <c r="H1351" i="4"/>
  <c r="I1351" i="4" s="1"/>
  <c r="K1350" i="4"/>
  <c r="J1350" i="4"/>
  <c r="H1350" i="4"/>
  <c r="I1350" i="4" s="1"/>
  <c r="K1349" i="4"/>
  <c r="J1349" i="4"/>
  <c r="H1349" i="4"/>
  <c r="I1349" i="4" s="1"/>
  <c r="K1348" i="4"/>
  <c r="J1348" i="4"/>
  <c r="H1348" i="4"/>
  <c r="I1348" i="4" s="1"/>
  <c r="K1347" i="4"/>
  <c r="J1347" i="4"/>
  <c r="H1347" i="4"/>
  <c r="I1347" i="4" s="1"/>
  <c r="K1346" i="4"/>
  <c r="J1346" i="4"/>
  <c r="H1346" i="4"/>
  <c r="I1346" i="4" s="1"/>
  <c r="K1345" i="4"/>
  <c r="J1345" i="4"/>
  <c r="H1345" i="4"/>
  <c r="I1345" i="4" s="1"/>
  <c r="K1344" i="4"/>
  <c r="J1344" i="4"/>
  <c r="H1344" i="4"/>
  <c r="I1344" i="4" s="1"/>
  <c r="K1343" i="4"/>
  <c r="J1343" i="4"/>
  <c r="H1343" i="4"/>
  <c r="I1343" i="4" s="1"/>
  <c r="K1342" i="4"/>
  <c r="J1342" i="4"/>
  <c r="H1342" i="4"/>
  <c r="I1342" i="4" s="1"/>
  <c r="K1341" i="4"/>
  <c r="J1341" i="4"/>
  <c r="H1341" i="4"/>
  <c r="I1341" i="4" s="1"/>
  <c r="K1340" i="4"/>
  <c r="J1340" i="4"/>
  <c r="H1340" i="4"/>
  <c r="I1340" i="4" s="1"/>
  <c r="K1339" i="4"/>
  <c r="J1339" i="4"/>
  <c r="H1339" i="4"/>
  <c r="I1339" i="4" s="1"/>
  <c r="K1338" i="4"/>
  <c r="J1338" i="4"/>
  <c r="H1338" i="4"/>
  <c r="I1338" i="4" s="1"/>
  <c r="K1337" i="4"/>
  <c r="J1337" i="4"/>
  <c r="H1337" i="4"/>
  <c r="I1337" i="4" s="1"/>
  <c r="K1336" i="4"/>
  <c r="J1336" i="4"/>
  <c r="H1336" i="4"/>
  <c r="I1336" i="4" s="1"/>
  <c r="K1335" i="4"/>
  <c r="J1335" i="4"/>
  <c r="H1335" i="4"/>
  <c r="I1335" i="4" s="1"/>
  <c r="K1334" i="4"/>
  <c r="J1334" i="4"/>
  <c r="H1334" i="4"/>
  <c r="I1334" i="4" s="1"/>
  <c r="K1333" i="4"/>
  <c r="J1333" i="4"/>
  <c r="H1333" i="4"/>
  <c r="I1333" i="4" s="1"/>
  <c r="K1332" i="4"/>
  <c r="J1332" i="4"/>
  <c r="H1332" i="4"/>
  <c r="I1332" i="4" s="1"/>
  <c r="K1331" i="4"/>
  <c r="J1331" i="4"/>
  <c r="H1331" i="4"/>
  <c r="I1331" i="4" s="1"/>
  <c r="K1330" i="4"/>
  <c r="J1330" i="4"/>
  <c r="H1330" i="4"/>
  <c r="I1330" i="4" s="1"/>
  <c r="K1329" i="4"/>
  <c r="J1329" i="4"/>
  <c r="H1329" i="4"/>
  <c r="I1329" i="4" s="1"/>
  <c r="K1328" i="4"/>
  <c r="J1328" i="4"/>
  <c r="H1328" i="4"/>
  <c r="I1328" i="4" s="1"/>
  <c r="K1327" i="4"/>
  <c r="J1327" i="4"/>
  <c r="H1327" i="4"/>
  <c r="I1327" i="4" s="1"/>
  <c r="K1326" i="4"/>
  <c r="J1326" i="4"/>
  <c r="H1326" i="4"/>
  <c r="I1326" i="4" s="1"/>
  <c r="K1325" i="4"/>
  <c r="J1325" i="4"/>
  <c r="H1325" i="4"/>
  <c r="I1325" i="4" s="1"/>
  <c r="K1324" i="4"/>
  <c r="J1324" i="4"/>
  <c r="H1324" i="4"/>
  <c r="I1324" i="4" s="1"/>
  <c r="K1323" i="4"/>
  <c r="J1323" i="4"/>
  <c r="H1323" i="4"/>
  <c r="I1323" i="4" s="1"/>
  <c r="K1322" i="4"/>
  <c r="J1322" i="4"/>
  <c r="H1322" i="4"/>
  <c r="I1322" i="4" s="1"/>
  <c r="K1321" i="4"/>
  <c r="J1321" i="4"/>
  <c r="H1321" i="4"/>
  <c r="I1321" i="4" s="1"/>
  <c r="K1320" i="4"/>
  <c r="J1320" i="4"/>
  <c r="H1320" i="4"/>
  <c r="I1320" i="4" s="1"/>
  <c r="K1319" i="4"/>
  <c r="J1319" i="4"/>
  <c r="H1319" i="4"/>
  <c r="I1319" i="4" s="1"/>
  <c r="K1318" i="4"/>
  <c r="J1318" i="4"/>
  <c r="H1318" i="4"/>
  <c r="I1318" i="4" s="1"/>
  <c r="K1317" i="4"/>
  <c r="J1317" i="4"/>
  <c r="H1317" i="4"/>
  <c r="I1317" i="4" s="1"/>
  <c r="K1316" i="4"/>
  <c r="J1316" i="4"/>
  <c r="H1316" i="4"/>
  <c r="I1316" i="4" s="1"/>
  <c r="K1315" i="4"/>
  <c r="J1315" i="4"/>
  <c r="H1315" i="4"/>
  <c r="I1315" i="4" s="1"/>
  <c r="K1314" i="4"/>
  <c r="J1314" i="4"/>
  <c r="H1314" i="4"/>
  <c r="I1314" i="4" s="1"/>
  <c r="K1313" i="4"/>
  <c r="J1313" i="4"/>
  <c r="H1313" i="4"/>
  <c r="I1313" i="4" s="1"/>
  <c r="K1312" i="4"/>
  <c r="J1312" i="4"/>
  <c r="H1312" i="4"/>
  <c r="I1312" i="4" s="1"/>
  <c r="K1311" i="4"/>
  <c r="J1311" i="4"/>
  <c r="H1311" i="4"/>
  <c r="I1311" i="4" s="1"/>
  <c r="K1310" i="4"/>
  <c r="J1310" i="4"/>
  <c r="H1310" i="4"/>
  <c r="I1310" i="4" s="1"/>
  <c r="K1309" i="4"/>
  <c r="J1309" i="4"/>
  <c r="H1309" i="4"/>
  <c r="I1309" i="4" s="1"/>
  <c r="K1308" i="4"/>
  <c r="J1308" i="4"/>
  <c r="H1308" i="4"/>
  <c r="I1308" i="4" s="1"/>
  <c r="K1307" i="4"/>
  <c r="J1307" i="4"/>
  <c r="H1307" i="4"/>
  <c r="I1307" i="4" s="1"/>
  <c r="K1306" i="4"/>
  <c r="J1306" i="4"/>
  <c r="H1306" i="4"/>
  <c r="I1306" i="4" s="1"/>
  <c r="K1305" i="4"/>
  <c r="J1305" i="4"/>
  <c r="H1305" i="4"/>
  <c r="I1305" i="4" s="1"/>
  <c r="K1304" i="4"/>
  <c r="J1304" i="4"/>
  <c r="H1304" i="4"/>
  <c r="I1304" i="4" s="1"/>
  <c r="K1303" i="4"/>
  <c r="J1303" i="4"/>
  <c r="H1303" i="4"/>
  <c r="I1303" i="4" s="1"/>
  <c r="K1302" i="4"/>
  <c r="J1302" i="4"/>
  <c r="H1302" i="4"/>
  <c r="I1302" i="4" s="1"/>
  <c r="K1301" i="4"/>
  <c r="J1301" i="4"/>
  <c r="H1301" i="4"/>
  <c r="I1301" i="4" s="1"/>
  <c r="K1300" i="4"/>
  <c r="J1300" i="4"/>
  <c r="H1300" i="4"/>
  <c r="I1300" i="4" s="1"/>
  <c r="K1299" i="4"/>
  <c r="J1299" i="4"/>
  <c r="H1299" i="4"/>
  <c r="I1299" i="4" s="1"/>
  <c r="K1298" i="4"/>
  <c r="J1298" i="4"/>
  <c r="H1298" i="4"/>
  <c r="I1298" i="4" s="1"/>
  <c r="K1297" i="4"/>
  <c r="J1297" i="4"/>
  <c r="H1297" i="4"/>
  <c r="I1297" i="4" s="1"/>
  <c r="K1296" i="4"/>
  <c r="J1296" i="4"/>
  <c r="H1296" i="4"/>
  <c r="I1296" i="4" s="1"/>
  <c r="K1295" i="4"/>
  <c r="J1295" i="4"/>
  <c r="H1295" i="4"/>
  <c r="I1295" i="4" s="1"/>
  <c r="K1294" i="4"/>
  <c r="J1294" i="4"/>
  <c r="H1294" i="4"/>
  <c r="I1294" i="4" s="1"/>
  <c r="K1293" i="4"/>
  <c r="J1293" i="4"/>
  <c r="H1293" i="4"/>
  <c r="I1293" i="4" s="1"/>
  <c r="K1292" i="4"/>
  <c r="J1292" i="4"/>
  <c r="H1292" i="4"/>
  <c r="I1292" i="4" s="1"/>
  <c r="K1291" i="4"/>
  <c r="J1291" i="4"/>
  <c r="H1291" i="4"/>
  <c r="I1291" i="4" s="1"/>
  <c r="K1290" i="4"/>
  <c r="J1290" i="4"/>
  <c r="H1290" i="4"/>
  <c r="I1290" i="4" s="1"/>
  <c r="K1289" i="4"/>
  <c r="J1289" i="4"/>
  <c r="H1289" i="4"/>
  <c r="I1289" i="4" s="1"/>
  <c r="K1288" i="4"/>
  <c r="J1288" i="4"/>
  <c r="H1288" i="4"/>
  <c r="I1288" i="4" s="1"/>
  <c r="K1287" i="4"/>
  <c r="J1287" i="4"/>
  <c r="H1287" i="4"/>
  <c r="I1287" i="4" s="1"/>
  <c r="K1286" i="4"/>
  <c r="J1286" i="4"/>
  <c r="H1286" i="4"/>
  <c r="I1286" i="4" s="1"/>
  <c r="K1285" i="4"/>
  <c r="J1285" i="4"/>
  <c r="H1285" i="4"/>
  <c r="I1285" i="4" s="1"/>
  <c r="K1284" i="4"/>
  <c r="J1284" i="4"/>
  <c r="H1284" i="4"/>
  <c r="I1284" i="4" s="1"/>
  <c r="K1283" i="4"/>
  <c r="J1283" i="4"/>
  <c r="H1283" i="4"/>
  <c r="I1283" i="4" s="1"/>
  <c r="K1282" i="4"/>
  <c r="J1282" i="4"/>
  <c r="H1282" i="4"/>
  <c r="I1282" i="4" s="1"/>
  <c r="K1281" i="4"/>
  <c r="J1281" i="4"/>
  <c r="H1281" i="4"/>
  <c r="I1281" i="4" s="1"/>
  <c r="K1280" i="4"/>
  <c r="J1280" i="4"/>
  <c r="H1280" i="4"/>
  <c r="I1280" i="4" s="1"/>
  <c r="K1279" i="4"/>
  <c r="J1279" i="4"/>
  <c r="H1279" i="4"/>
  <c r="I1279" i="4" s="1"/>
  <c r="K1278" i="4"/>
  <c r="J1278" i="4"/>
  <c r="H1278" i="4"/>
  <c r="I1278" i="4" s="1"/>
  <c r="K1277" i="4"/>
  <c r="J1277" i="4"/>
  <c r="H1277" i="4"/>
  <c r="I1277" i="4" s="1"/>
  <c r="K1276" i="4"/>
  <c r="J1276" i="4"/>
  <c r="H1276" i="4"/>
  <c r="I1276" i="4" s="1"/>
  <c r="K1275" i="4"/>
  <c r="J1275" i="4"/>
  <c r="H1275" i="4"/>
  <c r="I1275" i="4" s="1"/>
  <c r="K1274" i="4"/>
  <c r="J1274" i="4"/>
  <c r="H1274" i="4"/>
  <c r="I1274" i="4" s="1"/>
  <c r="K1273" i="4"/>
  <c r="J1273" i="4"/>
  <c r="H1273" i="4"/>
  <c r="I1273" i="4" s="1"/>
  <c r="K1272" i="4"/>
  <c r="J1272" i="4"/>
  <c r="H1272" i="4"/>
  <c r="I1272" i="4" s="1"/>
  <c r="K1271" i="4"/>
  <c r="J1271" i="4"/>
  <c r="H1271" i="4"/>
  <c r="I1271" i="4" s="1"/>
  <c r="K1270" i="4"/>
  <c r="J1270" i="4"/>
  <c r="H1270" i="4"/>
  <c r="I1270" i="4" s="1"/>
  <c r="K1269" i="4"/>
  <c r="J1269" i="4"/>
  <c r="H1269" i="4"/>
  <c r="I1269" i="4" s="1"/>
  <c r="K1268" i="4"/>
  <c r="J1268" i="4"/>
  <c r="H1268" i="4"/>
  <c r="I1268" i="4" s="1"/>
  <c r="K1267" i="4"/>
  <c r="J1267" i="4"/>
  <c r="H1267" i="4"/>
  <c r="I1267" i="4" s="1"/>
  <c r="K1266" i="4"/>
  <c r="J1266" i="4"/>
  <c r="H1266" i="4"/>
  <c r="I1266" i="4" s="1"/>
  <c r="K1265" i="4"/>
  <c r="J1265" i="4"/>
  <c r="H1265" i="4"/>
  <c r="I1265" i="4" s="1"/>
  <c r="K1264" i="4"/>
  <c r="J1264" i="4"/>
  <c r="H1264" i="4"/>
  <c r="I1264" i="4" s="1"/>
  <c r="K1263" i="4"/>
  <c r="J1263" i="4"/>
  <c r="H1263" i="4"/>
  <c r="I1263" i="4" s="1"/>
  <c r="K1262" i="4"/>
  <c r="J1262" i="4"/>
  <c r="H1262" i="4"/>
  <c r="I1262" i="4" s="1"/>
  <c r="K1261" i="4"/>
  <c r="J1261" i="4"/>
  <c r="H1261" i="4"/>
  <c r="I1261" i="4" s="1"/>
  <c r="K1260" i="4"/>
  <c r="J1260" i="4"/>
  <c r="H1260" i="4"/>
  <c r="I1260" i="4" s="1"/>
  <c r="K1259" i="4"/>
  <c r="J1259" i="4"/>
  <c r="H1259" i="4"/>
  <c r="I1259" i="4" s="1"/>
  <c r="K1258" i="4"/>
  <c r="J1258" i="4"/>
  <c r="H1258" i="4"/>
  <c r="I1258" i="4" s="1"/>
  <c r="K1257" i="4"/>
  <c r="J1257" i="4"/>
  <c r="H1257" i="4"/>
  <c r="I1257" i="4" s="1"/>
  <c r="K1256" i="4"/>
  <c r="J1256" i="4"/>
  <c r="H1256" i="4"/>
  <c r="I1256" i="4" s="1"/>
  <c r="K1255" i="4"/>
  <c r="J1255" i="4"/>
  <c r="H1255" i="4"/>
  <c r="I1255" i="4" s="1"/>
  <c r="K1254" i="4"/>
  <c r="J1254" i="4"/>
  <c r="H1254" i="4"/>
  <c r="I1254" i="4" s="1"/>
  <c r="K1253" i="4"/>
  <c r="J1253" i="4"/>
  <c r="H1253" i="4"/>
  <c r="I1253" i="4" s="1"/>
  <c r="K1252" i="4"/>
  <c r="J1252" i="4"/>
  <c r="H1252" i="4"/>
  <c r="I1252" i="4" s="1"/>
  <c r="K1251" i="4"/>
  <c r="J1251" i="4"/>
  <c r="H1251" i="4"/>
  <c r="I1251" i="4" s="1"/>
  <c r="K1250" i="4"/>
  <c r="J1250" i="4"/>
  <c r="H1250" i="4"/>
  <c r="I1250" i="4" s="1"/>
  <c r="K1249" i="4"/>
  <c r="J1249" i="4"/>
  <c r="H1249" i="4"/>
  <c r="I1249" i="4" s="1"/>
  <c r="K1248" i="4"/>
  <c r="J1248" i="4"/>
  <c r="H1248" i="4"/>
  <c r="I1248" i="4" s="1"/>
  <c r="K1247" i="4"/>
  <c r="J1247" i="4"/>
  <c r="H1247" i="4"/>
  <c r="I1247" i="4" s="1"/>
  <c r="K1246" i="4"/>
  <c r="J1246" i="4"/>
  <c r="H1246" i="4"/>
  <c r="I1246" i="4" s="1"/>
  <c r="K1245" i="4"/>
  <c r="J1245" i="4"/>
  <c r="H1245" i="4"/>
  <c r="I1245" i="4" s="1"/>
  <c r="K1244" i="4"/>
  <c r="J1244" i="4"/>
  <c r="H1244" i="4"/>
  <c r="I1244" i="4" s="1"/>
  <c r="K1243" i="4"/>
  <c r="J1243" i="4"/>
  <c r="H1243" i="4"/>
  <c r="I1243" i="4" s="1"/>
  <c r="K1242" i="4"/>
  <c r="J1242" i="4"/>
  <c r="H1242" i="4"/>
  <c r="I1242" i="4" s="1"/>
  <c r="K1241" i="4"/>
  <c r="J1241" i="4"/>
  <c r="H1241" i="4"/>
  <c r="I1241" i="4" s="1"/>
  <c r="K1240" i="4"/>
  <c r="J1240" i="4"/>
  <c r="H1240" i="4"/>
  <c r="I1240" i="4" s="1"/>
  <c r="K1239" i="4"/>
  <c r="J1239" i="4"/>
  <c r="H1239" i="4"/>
  <c r="I1239" i="4" s="1"/>
  <c r="K1238" i="4"/>
  <c r="J1238" i="4"/>
  <c r="H1238" i="4"/>
  <c r="I1238" i="4" s="1"/>
  <c r="K1237" i="4"/>
  <c r="J1237" i="4"/>
  <c r="H1237" i="4"/>
  <c r="I1237" i="4" s="1"/>
  <c r="K1236" i="4"/>
  <c r="J1236" i="4"/>
  <c r="H1236" i="4"/>
  <c r="I1236" i="4" s="1"/>
  <c r="K1235" i="4"/>
  <c r="J1235" i="4"/>
  <c r="H1235" i="4"/>
  <c r="I1235" i="4" s="1"/>
  <c r="K1234" i="4"/>
  <c r="J1234" i="4"/>
  <c r="H1234" i="4"/>
  <c r="I1234" i="4" s="1"/>
  <c r="K1233" i="4"/>
  <c r="J1233" i="4"/>
  <c r="H1233" i="4"/>
  <c r="I1233" i="4" s="1"/>
  <c r="K1232" i="4"/>
  <c r="J1232" i="4"/>
  <c r="H1232" i="4"/>
  <c r="I1232" i="4" s="1"/>
  <c r="K1231" i="4"/>
  <c r="J1231" i="4"/>
  <c r="H1231" i="4"/>
  <c r="I1231" i="4" s="1"/>
  <c r="K1230" i="4"/>
  <c r="J1230" i="4"/>
  <c r="H1230" i="4"/>
  <c r="I1230" i="4" s="1"/>
  <c r="K1229" i="4"/>
  <c r="J1229" i="4"/>
  <c r="H1229" i="4"/>
  <c r="I1229" i="4" s="1"/>
  <c r="K1228" i="4"/>
  <c r="J1228" i="4"/>
  <c r="H1228" i="4"/>
  <c r="I1228" i="4" s="1"/>
  <c r="K1227" i="4"/>
  <c r="J1227" i="4"/>
  <c r="H1227" i="4"/>
  <c r="I1227" i="4" s="1"/>
  <c r="K1226" i="4"/>
  <c r="J1226" i="4"/>
  <c r="H1226" i="4"/>
  <c r="I1226" i="4" s="1"/>
  <c r="K1225" i="4"/>
  <c r="J1225" i="4"/>
  <c r="H1225" i="4"/>
  <c r="I1225" i="4" s="1"/>
  <c r="K1224" i="4"/>
  <c r="J1224" i="4"/>
  <c r="H1224" i="4"/>
  <c r="I1224" i="4" s="1"/>
  <c r="K1223" i="4"/>
  <c r="J1223" i="4"/>
  <c r="H1223" i="4"/>
  <c r="I1223" i="4" s="1"/>
  <c r="K1222" i="4"/>
  <c r="J1222" i="4"/>
  <c r="H1222" i="4"/>
  <c r="I1222" i="4" s="1"/>
  <c r="K1221" i="4"/>
  <c r="J1221" i="4"/>
  <c r="H1221" i="4"/>
  <c r="I1221" i="4" s="1"/>
  <c r="K1220" i="4"/>
  <c r="J1220" i="4"/>
  <c r="H1220" i="4"/>
  <c r="I1220" i="4" s="1"/>
  <c r="K1219" i="4"/>
  <c r="J1219" i="4"/>
  <c r="H1219" i="4"/>
  <c r="I1219" i="4" s="1"/>
  <c r="K1218" i="4"/>
  <c r="J1218" i="4"/>
  <c r="H1218" i="4"/>
  <c r="I1218" i="4" s="1"/>
  <c r="K1217" i="4"/>
  <c r="J1217" i="4"/>
  <c r="H1217" i="4"/>
  <c r="I1217" i="4" s="1"/>
  <c r="K1216" i="4"/>
  <c r="J1216" i="4"/>
  <c r="H1216" i="4"/>
  <c r="I1216" i="4" s="1"/>
  <c r="K1215" i="4"/>
  <c r="J1215" i="4"/>
  <c r="H1215" i="4"/>
  <c r="I1215" i="4" s="1"/>
  <c r="K1214" i="4"/>
  <c r="J1214" i="4"/>
  <c r="H1214" i="4"/>
  <c r="I1214" i="4" s="1"/>
  <c r="K1213" i="4"/>
  <c r="J1213" i="4"/>
  <c r="H1213" i="4"/>
  <c r="I1213" i="4" s="1"/>
  <c r="K1212" i="4"/>
  <c r="J1212" i="4"/>
  <c r="H1212" i="4"/>
  <c r="I1212" i="4" s="1"/>
  <c r="K1211" i="4"/>
  <c r="J1211" i="4"/>
  <c r="H1211" i="4"/>
  <c r="I1211" i="4" s="1"/>
  <c r="K1210" i="4"/>
  <c r="J1210" i="4"/>
  <c r="H1210" i="4"/>
  <c r="I1210" i="4" s="1"/>
  <c r="K1209" i="4"/>
  <c r="J1209" i="4"/>
  <c r="H1209" i="4"/>
  <c r="I1209" i="4" s="1"/>
  <c r="K1208" i="4"/>
  <c r="J1208" i="4"/>
  <c r="H1208" i="4"/>
  <c r="I1208" i="4" s="1"/>
  <c r="K1207" i="4"/>
  <c r="J1207" i="4"/>
  <c r="H1207" i="4"/>
  <c r="I1207" i="4" s="1"/>
  <c r="K1206" i="4"/>
  <c r="J1206" i="4"/>
  <c r="H1206" i="4"/>
  <c r="I1206" i="4" s="1"/>
  <c r="K1205" i="4"/>
  <c r="J1205" i="4"/>
  <c r="H1205" i="4"/>
  <c r="I1205" i="4" s="1"/>
  <c r="K1204" i="4"/>
  <c r="J1204" i="4"/>
  <c r="H1204" i="4"/>
  <c r="I1204" i="4" s="1"/>
  <c r="K1203" i="4"/>
  <c r="J1203" i="4"/>
  <c r="H1203" i="4"/>
  <c r="I1203" i="4" s="1"/>
  <c r="K1202" i="4"/>
  <c r="J1202" i="4"/>
  <c r="H1202" i="4"/>
  <c r="I1202" i="4" s="1"/>
  <c r="K1201" i="4"/>
  <c r="J1201" i="4"/>
  <c r="H1201" i="4"/>
  <c r="I1201" i="4" s="1"/>
  <c r="K1200" i="4"/>
  <c r="J1200" i="4"/>
  <c r="H1200" i="4"/>
  <c r="I1200" i="4" s="1"/>
  <c r="K1199" i="4"/>
  <c r="J1199" i="4"/>
  <c r="H1199" i="4"/>
  <c r="I1199" i="4" s="1"/>
  <c r="K1198" i="4"/>
  <c r="J1198" i="4"/>
  <c r="H1198" i="4"/>
  <c r="I1198" i="4" s="1"/>
  <c r="K1197" i="4"/>
  <c r="J1197" i="4"/>
  <c r="H1197" i="4"/>
  <c r="I1197" i="4" s="1"/>
  <c r="K1196" i="4"/>
  <c r="J1196" i="4"/>
  <c r="H1196" i="4"/>
  <c r="I1196" i="4" s="1"/>
  <c r="K1195" i="4"/>
  <c r="J1195" i="4"/>
  <c r="H1195" i="4"/>
  <c r="I1195" i="4" s="1"/>
  <c r="K1194" i="4"/>
  <c r="J1194" i="4"/>
  <c r="H1194" i="4"/>
  <c r="I1194" i="4" s="1"/>
  <c r="K1193" i="4"/>
  <c r="J1193" i="4"/>
  <c r="H1193" i="4"/>
  <c r="I1193" i="4" s="1"/>
  <c r="K1192" i="4"/>
  <c r="J1192" i="4"/>
  <c r="H1192" i="4"/>
  <c r="I1192" i="4" s="1"/>
  <c r="K1191" i="4"/>
  <c r="J1191" i="4"/>
  <c r="H1191" i="4"/>
  <c r="I1191" i="4" s="1"/>
  <c r="K1190" i="4"/>
  <c r="J1190" i="4"/>
  <c r="H1190" i="4"/>
  <c r="I1190" i="4" s="1"/>
  <c r="K1189" i="4"/>
  <c r="J1189" i="4"/>
  <c r="H1189" i="4"/>
  <c r="I1189" i="4" s="1"/>
  <c r="K1188" i="4"/>
  <c r="J1188" i="4"/>
  <c r="H1188" i="4"/>
  <c r="I1188" i="4" s="1"/>
  <c r="K1187" i="4"/>
  <c r="J1187" i="4"/>
  <c r="H1187" i="4"/>
  <c r="I1187" i="4" s="1"/>
  <c r="K1186" i="4"/>
  <c r="J1186" i="4"/>
  <c r="H1186" i="4"/>
  <c r="I1186" i="4" s="1"/>
  <c r="K1185" i="4"/>
  <c r="J1185" i="4"/>
  <c r="H1185" i="4"/>
  <c r="I1185" i="4" s="1"/>
  <c r="K1184" i="4"/>
  <c r="J1184" i="4"/>
  <c r="H1184" i="4"/>
  <c r="I1184" i="4" s="1"/>
  <c r="K1183" i="4"/>
  <c r="J1183" i="4"/>
  <c r="H1183" i="4"/>
  <c r="I1183" i="4" s="1"/>
  <c r="K1182" i="4"/>
  <c r="J1182" i="4"/>
  <c r="H1182" i="4"/>
  <c r="I1182" i="4" s="1"/>
  <c r="K1181" i="4"/>
  <c r="J1181" i="4"/>
  <c r="H1181" i="4"/>
  <c r="I1181" i="4" s="1"/>
  <c r="K1180" i="4"/>
  <c r="J1180" i="4"/>
  <c r="H1180" i="4"/>
  <c r="I1180" i="4" s="1"/>
  <c r="K1179" i="4"/>
  <c r="J1179" i="4"/>
  <c r="H1179" i="4"/>
  <c r="I1179" i="4" s="1"/>
  <c r="K1178" i="4"/>
  <c r="J1178" i="4"/>
  <c r="H1178" i="4"/>
  <c r="I1178" i="4" s="1"/>
  <c r="K1177" i="4"/>
  <c r="J1177" i="4"/>
  <c r="H1177" i="4"/>
  <c r="I1177" i="4" s="1"/>
  <c r="K1176" i="4"/>
  <c r="J1176" i="4"/>
  <c r="H1176" i="4"/>
  <c r="I1176" i="4" s="1"/>
  <c r="K1175" i="4"/>
  <c r="J1175" i="4"/>
  <c r="H1175" i="4"/>
  <c r="I1175" i="4" s="1"/>
  <c r="K1174" i="4"/>
  <c r="J1174" i="4"/>
  <c r="H1174" i="4"/>
  <c r="I1174" i="4" s="1"/>
  <c r="K1173" i="4"/>
  <c r="J1173" i="4"/>
  <c r="H1173" i="4"/>
  <c r="I1173" i="4" s="1"/>
  <c r="K1172" i="4"/>
  <c r="J1172" i="4"/>
  <c r="H1172" i="4"/>
  <c r="I1172" i="4" s="1"/>
  <c r="K1171" i="4"/>
  <c r="J1171" i="4"/>
  <c r="H1171" i="4"/>
  <c r="I1171" i="4" s="1"/>
  <c r="K1170" i="4"/>
  <c r="J1170" i="4"/>
  <c r="H1170" i="4"/>
  <c r="I1170" i="4" s="1"/>
  <c r="K1169" i="4"/>
  <c r="J1169" i="4"/>
  <c r="H1169" i="4"/>
  <c r="I1169" i="4" s="1"/>
  <c r="K1168" i="4"/>
  <c r="J1168" i="4"/>
  <c r="H1168" i="4"/>
  <c r="I1168" i="4" s="1"/>
  <c r="K1167" i="4"/>
  <c r="J1167" i="4"/>
  <c r="H1167" i="4"/>
  <c r="I1167" i="4" s="1"/>
  <c r="K1166" i="4"/>
  <c r="J1166" i="4"/>
  <c r="H1166" i="4"/>
  <c r="I1166" i="4" s="1"/>
  <c r="K1165" i="4"/>
  <c r="J1165" i="4"/>
  <c r="H1165" i="4"/>
  <c r="I1165" i="4" s="1"/>
  <c r="K1164" i="4"/>
  <c r="J1164" i="4"/>
  <c r="H1164" i="4"/>
  <c r="I1164" i="4" s="1"/>
  <c r="K1163" i="4"/>
  <c r="J1163" i="4"/>
  <c r="H1163" i="4"/>
  <c r="I1163" i="4" s="1"/>
  <c r="K1162" i="4"/>
  <c r="J1162" i="4"/>
  <c r="H1162" i="4"/>
  <c r="I1162" i="4" s="1"/>
  <c r="K1161" i="4"/>
  <c r="J1161" i="4"/>
  <c r="H1161" i="4"/>
  <c r="I1161" i="4" s="1"/>
  <c r="K1160" i="4"/>
  <c r="J1160" i="4"/>
  <c r="H1160" i="4"/>
  <c r="I1160" i="4" s="1"/>
  <c r="K1159" i="4"/>
  <c r="J1159" i="4"/>
  <c r="H1159" i="4"/>
  <c r="I1159" i="4" s="1"/>
  <c r="K1158" i="4"/>
  <c r="J1158" i="4"/>
  <c r="H1158" i="4"/>
  <c r="I1158" i="4" s="1"/>
  <c r="K1157" i="4"/>
  <c r="J1157" i="4"/>
  <c r="H1157" i="4"/>
  <c r="I1157" i="4" s="1"/>
  <c r="K1156" i="4"/>
  <c r="J1156" i="4"/>
  <c r="H1156" i="4"/>
  <c r="I1156" i="4" s="1"/>
  <c r="K1155" i="4"/>
  <c r="J1155" i="4"/>
  <c r="H1155" i="4"/>
  <c r="I1155" i="4" s="1"/>
  <c r="K1154" i="4"/>
  <c r="J1154" i="4"/>
  <c r="H1154" i="4"/>
  <c r="I1154" i="4" s="1"/>
  <c r="K1153" i="4"/>
  <c r="J1153" i="4"/>
  <c r="H1153" i="4"/>
  <c r="I1153" i="4" s="1"/>
  <c r="K1152" i="4"/>
  <c r="J1152" i="4"/>
  <c r="H1152" i="4"/>
  <c r="I1152" i="4" s="1"/>
  <c r="K1151" i="4"/>
  <c r="J1151" i="4"/>
  <c r="H1151" i="4"/>
  <c r="I1151" i="4" s="1"/>
  <c r="K1150" i="4"/>
  <c r="J1150" i="4"/>
  <c r="H1150" i="4"/>
  <c r="I1150" i="4" s="1"/>
  <c r="K1149" i="4"/>
  <c r="J1149" i="4"/>
  <c r="H1149" i="4"/>
  <c r="I1149" i="4" s="1"/>
  <c r="K1148" i="4"/>
  <c r="J1148" i="4"/>
  <c r="H1148" i="4"/>
  <c r="I1148" i="4" s="1"/>
  <c r="K1147" i="4"/>
  <c r="J1147" i="4"/>
  <c r="H1147" i="4"/>
  <c r="I1147" i="4" s="1"/>
  <c r="K1146" i="4"/>
  <c r="J1146" i="4"/>
  <c r="H1146" i="4"/>
  <c r="I1146" i="4" s="1"/>
  <c r="K1145" i="4"/>
  <c r="J1145" i="4"/>
  <c r="H1145" i="4"/>
  <c r="I1145" i="4" s="1"/>
  <c r="K1144" i="4"/>
  <c r="J1144" i="4"/>
  <c r="H1144" i="4"/>
  <c r="I1144" i="4" s="1"/>
  <c r="K1143" i="4"/>
  <c r="J1143" i="4"/>
  <c r="H1143" i="4"/>
  <c r="I1143" i="4" s="1"/>
  <c r="K1142" i="4"/>
  <c r="J1142" i="4"/>
  <c r="H1142" i="4"/>
  <c r="I1142" i="4" s="1"/>
  <c r="K1141" i="4"/>
  <c r="J1141" i="4"/>
  <c r="H1141" i="4"/>
  <c r="I1141" i="4" s="1"/>
  <c r="K1140" i="4"/>
  <c r="J1140" i="4"/>
  <c r="H1140" i="4"/>
  <c r="I1140" i="4" s="1"/>
  <c r="K1139" i="4"/>
  <c r="J1139" i="4"/>
  <c r="H1139" i="4"/>
  <c r="I1139" i="4" s="1"/>
  <c r="K1138" i="4"/>
  <c r="J1138" i="4"/>
  <c r="H1138" i="4"/>
  <c r="I1138" i="4" s="1"/>
  <c r="K1137" i="4"/>
  <c r="J1137" i="4"/>
  <c r="H1137" i="4"/>
  <c r="I1137" i="4" s="1"/>
  <c r="K1136" i="4"/>
  <c r="J1136" i="4"/>
  <c r="H1136" i="4"/>
  <c r="I1136" i="4" s="1"/>
  <c r="K1135" i="4"/>
  <c r="J1135" i="4"/>
  <c r="H1135" i="4"/>
  <c r="I1135" i="4" s="1"/>
  <c r="K1134" i="4"/>
  <c r="J1134" i="4"/>
  <c r="H1134" i="4"/>
  <c r="I1134" i="4" s="1"/>
  <c r="K1133" i="4"/>
  <c r="J1133" i="4"/>
  <c r="H1133" i="4"/>
  <c r="I1133" i="4" s="1"/>
  <c r="K1132" i="4"/>
  <c r="J1132" i="4"/>
  <c r="H1132" i="4"/>
  <c r="I1132" i="4" s="1"/>
  <c r="K1131" i="4"/>
  <c r="J1131" i="4"/>
  <c r="H1131" i="4"/>
  <c r="I1131" i="4" s="1"/>
  <c r="K1130" i="4"/>
  <c r="J1130" i="4"/>
  <c r="H1130" i="4"/>
  <c r="I1130" i="4" s="1"/>
  <c r="K1129" i="4"/>
  <c r="J1129" i="4"/>
  <c r="H1129" i="4"/>
  <c r="I1129" i="4" s="1"/>
  <c r="K1128" i="4"/>
  <c r="J1128" i="4"/>
  <c r="H1128" i="4"/>
  <c r="I1128" i="4" s="1"/>
  <c r="K1127" i="4"/>
  <c r="J1127" i="4"/>
  <c r="H1127" i="4"/>
  <c r="I1127" i="4" s="1"/>
  <c r="K1126" i="4"/>
  <c r="J1126" i="4"/>
  <c r="H1126" i="4"/>
  <c r="I1126" i="4" s="1"/>
  <c r="K1125" i="4"/>
  <c r="J1125" i="4"/>
  <c r="H1125" i="4"/>
  <c r="I1125" i="4" s="1"/>
  <c r="K1124" i="4"/>
  <c r="J1124" i="4"/>
  <c r="H1124" i="4"/>
  <c r="I1124" i="4" s="1"/>
  <c r="K1123" i="4"/>
  <c r="J1123" i="4"/>
  <c r="H1123" i="4"/>
  <c r="I1123" i="4" s="1"/>
  <c r="K1122" i="4"/>
  <c r="J1122" i="4"/>
  <c r="H1122" i="4"/>
  <c r="I1122" i="4" s="1"/>
  <c r="K1121" i="4"/>
  <c r="J1121" i="4"/>
  <c r="H1121" i="4"/>
  <c r="I1121" i="4" s="1"/>
  <c r="K1120" i="4"/>
  <c r="J1120" i="4"/>
  <c r="H1120" i="4"/>
  <c r="I1120" i="4" s="1"/>
  <c r="K1119" i="4"/>
  <c r="J1119" i="4"/>
  <c r="H1119" i="4"/>
  <c r="I1119" i="4" s="1"/>
  <c r="K1118" i="4"/>
  <c r="J1118" i="4"/>
  <c r="H1118" i="4"/>
  <c r="I1118" i="4" s="1"/>
  <c r="K1117" i="4"/>
  <c r="J1117" i="4"/>
  <c r="H1117" i="4"/>
  <c r="I1117" i="4" s="1"/>
  <c r="K1116" i="4"/>
  <c r="J1116" i="4"/>
  <c r="H1116" i="4"/>
  <c r="I1116" i="4" s="1"/>
  <c r="K1115" i="4"/>
  <c r="J1115" i="4"/>
  <c r="H1115" i="4"/>
  <c r="I1115" i="4" s="1"/>
  <c r="K1114" i="4"/>
  <c r="J1114" i="4"/>
  <c r="H1114" i="4"/>
  <c r="I1114" i="4" s="1"/>
  <c r="K1113" i="4"/>
  <c r="J1113" i="4"/>
  <c r="H1113" i="4"/>
  <c r="I1113" i="4" s="1"/>
  <c r="K1112" i="4"/>
  <c r="J1112" i="4"/>
  <c r="H1112" i="4"/>
  <c r="I1112" i="4" s="1"/>
  <c r="K1111" i="4"/>
  <c r="J1111" i="4"/>
  <c r="H1111" i="4"/>
  <c r="I1111" i="4" s="1"/>
  <c r="K1110" i="4"/>
  <c r="J1110" i="4"/>
  <c r="H1110" i="4"/>
  <c r="I1110" i="4" s="1"/>
  <c r="K1109" i="4"/>
  <c r="J1109" i="4"/>
  <c r="H1109" i="4"/>
  <c r="I1109" i="4" s="1"/>
  <c r="K1108" i="4"/>
  <c r="J1108" i="4"/>
  <c r="H1108" i="4"/>
  <c r="I1108" i="4" s="1"/>
  <c r="K1107" i="4"/>
  <c r="J1107" i="4"/>
  <c r="H1107" i="4"/>
  <c r="I1107" i="4" s="1"/>
  <c r="K1106" i="4"/>
  <c r="J1106" i="4"/>
  <c r="H1106" i="4"/>
  <c r="I1106" i="4" s="1"/>
  <c r="K1105" i="4"/>
  <c r="J1105" i="4"/>
  <c r="H1105" i="4"/>
  <c r="I1105" i="4" s="1"/>
  <c r="K1104" i="4"/>
  <c r="J1104" i="4"/>
  <c r="H1104" i="4"/>
  <c r="I1104" i="4" s="1"/>
  <c r="K1103" i="4"/>
  <c r="J1103" i="4"/>
  <c r="H1103" i="4"/>
  <c r="I1103" i="4" s="1"/>
  <c r="K1102" i="4"/>
  <c r="J1102" i="4"/>
  <c r="H1102" i="4"/>
  <c r="I1102" i="4" s="1"/>
  <c r="K1101" i="4"/>
  <c r="J1101" i="4"/>
  <c r="H1101" i="4"/>
  <c r="I1101" i="4" s="1"/>
  <c r="K1100" i="4"/>
  <c r="J1100" i="4"/>
  <c r="H1100" i="4"/>
  <c r="I1100" i="4" s="1"/>
  <c r="K1099" i="4"/>
  <c r="J1099" i="4"/>
  <c r="H1099" i="4"/>
  <c r="I1099" i="4" s="1"/>
  <c r="K1098" i="4"/>
  <c r="J1098" i="4"/>
  <c r="H1098" i="4"/>
  <c r="I1098" i="4" s="1"/>
  <c r="K1097" i="4"/>
  <c r="J1097" i="4"/>
  <c r="H1097" i="4"/>
  <c r="I1097" i="4" s="1"/>
  <c r="K1096" i="4"/>
  <c r="J1096" i="4"/>
  <c r="H1096" i="4"/>
  <c r="I1096" i="4" s="1"/>
  <c r="K1095" i="4"/>
  <c r="J1095" i="4"/>
  <c r="H1095" i="4"/>
  <c r="I1095" i="4" s="1"/>
  <c r="K1094" i="4"/>
  <c r="J1094" i="4"/>
  <c r="H1094" i="4"/>
  <c r="I1094" i="4" s="1"/>
  <c r="K1093" i="4"/>
  <c r="J1093" i="4"/>
  <c r="H1093" i="4"/>
  <c r="I1093" i="4" s="1"/>
  <c r="K1092" i="4"/>
  <c r="J1092" i="4"/>
  <c r="H1092" i="4"/>
  <c r="I1092" i="4" s="1"/>
  <c r="K1091" i="4"/>
  <c r="J1091" i="4"/>
  <c r="H1091" i="4"/>
  <c r="I1091" i="4" s="1"/>
  <c r="K1090" i="4"/>
  <c r="J1090" i="4"/>
  <c r="H1090" i="4"/>
  <c r="I1090" i="4" s="1"/>
  <c r="K1089" i="4"/>
  <c r="J1089" i="4"/>
  <c r="H1089" i="4"/>
  <c r="I1089" i="4" s="1"/>
  <c r="K1088" i="4"/>
  <c r="J1088" i="4"/>
  <c r="H1088" i="4"/>
  <c r="I1088" i="4" s="1"/>
  <c r="K1087" i="4"/>
  <c r="J1087" i="4"/>
  <c r="H1087" i="4"/>
  <c r="I1087" i="4" s="1"/>
  <c r="K1086" i="4"/>
  <c r="J1086" i="4"/>
  <c r="H1086" i="4"/>
  <c r="I1086" i="4" s="1"/>
  <c r="K1085" i="4"/>
  <c r="J1085" i="4"/>
  <c r="H1085" i="4"/>
  <c r="I1085" i="4" s="1"/>
  <c r="K1084" i="4"/>
  <c r="J1084" i="4"/>
  <c r="H1084" i="4"/>
  <c r="I1084" i="4" s="1"/>
  <c r="K1083" i="4"/>
  <c r="J1083" i="4"/>
  <c r="H1083" i="4"/>
  <c r="I1083" i="4" s="1"/>
  <c r="K1082" i="4"/>
  <c r="J1082" i="4"/>
  <c r="H1082" i="4"/>
  <c r="I1082" i="4" s="1"/>
  <c r="K1081" i="4"/>
  <c r="J1081" i="4"/>
  <c r="H1081" i="4"/>
  <c r="I1081" i="4" s="1"/>
  <c r="K1080" i="4"/>
  <c r="J1080" i="4"/>
  <c r="H1080" i="4"/>
  <c r="I1080" i="4" s="1"/>
  <c r="K1079" i="4"/>
  <c r="J1079" i="4"/>
  <c r="H1079" i="4"/>
  <c r="I1079" i="4" s="1"/>
  <c r="K1078" i="4"/>
  <c r="J1078" i="4"/>
  <c r="H1078" i="4"/>
  <c r="I1078" i="4" s="1"/>
  <c r="K1077" i="4"/>
  <c r="J1077" i="4"/>
  <c r="H1077" i="4"/>
  <c r="I1077" i="4" s="1"/>
  <c r="K1076" i="4"/>
  <c r="J1076" i="4"/>
  <c r="H1076" i="4"/>
  <c r="I1076" i="4" s="1"/>
  <c r="K1075" i="4"/>
  <c r="J1075" i="4"/>
  <c r="H1075" i="4"/>
  <c r="I1075" i="4" s="1"/>
  <c r="K1074" i="4"/>
  <c r="J1074" i="4"/>
  <c r="H1074" i="4"/>
  <c r="I1074" i="4" s="1"/>
  <c r="K1073" i="4"/>
  <c r="J1073" i="4"/>
  <c r="H1073" i="4"/>
  <c r="I1073" i="4" s="1"/>
  <c r="K1072" i="4"/>
  <c r="J1072" i="4"/>
  <c r="H1072" i="4"/>
  <c r="I1072" i="4" s="1"/>
  <c r="K1071" i="4"/>
  <c r="J1071" i="4"/>
  <c r="H1071" i="4"/>
  <c r="I1071" i="4" s="1"/>
  <c r="K1070" i="4"/>
  <c r="J1070" i="4"/>
  <c r="H1070" i="4"/>
  <c r="I1070" i="4" s="1"/>
  <c r="K1069" i="4"/>
  <c r="J1069" i="4"/>
  <c r="H1069" i="4"/>
  <c r="I1069" i="4" s="1"/>
  <c r="K1068" i="4"/>
  <c r="J1068" i="4"/>
  <c r="H1068" i="4"/>
  <c r="I1068" i="4" s="1"/>
  <c r="K1067" i="4"/>
  <c r="J1067" i="4"/>
  <c r="H1067" i="4"/>
  <c r="I1067" i="4" s="1"/>
  <c r="K1066" i="4"/>
  <c r="J1066" i="4"/>
  <c r="H1066" i="4"/>
  <c r="I1066" i="4" s="1"/>
  <c r="K1065" i="4"/>
  <c r="J1065" i="4"/>
  <c r="H1065" i="4"/>
  <c r="I1065" i="4" s="1"/>
  <c r="K1064" i="4"/>
  <c r="J1064" i="4"/>
  <c r="H1064" i="4"/>
  <c r="I1064" i="4" s="1"/>
  <c r="K1063" i="4"/>
  <c r="J1063" i="4"/>
  <c r="H1063" i="4"/>
  <c r="I1063" i="4" s="1"/>
  <c r="K1062" i="4"/>
  <c r="J1062" i="4"/>
  <c r="H1062" i="4"/>
  <c r="I1062" i="4" s="1"/>
  <c r="K1061" i="4"/>
  <c r="J1061" i="4"/>
  <c r="H1061" i="4"/>
  <c r="I1061" i="4" s="1"/>
  <c r="K1060" i="4"/>
  <c r="J1060" i="4"/>
  <c r="H1060" i="4"/>
  <c r="I1060" i="4" s="1"/>
  <c r="K1059" i="4"/>
  <c r="J1059" i="4"/>
  <c r="H1059" i="4"/>
  <c r="I1059" i="4" s="1"/>
  <c r="K1058" i="4"/>
  <c r="J1058" i="4"/>
  <c r="H1058" i="4"/>
  <c r="I1058" i="4" s="1"/>
  <c r="K1057" i="4"/>
  <c r="J1057" i="4"/>
  <c r="H1057" i="4"/>
  <c r="I1057" i="4" s="1"/>
  <c r="K1056" i="4"/>
  <c r="J1056" i="4"/>
  <c r="H1056" i="4"/>
  <c r="I1056" i="4" s="1"/>
  <c r="K1055" i="4"/>
  <c r="J1055" i="4"/>
  <c r="H1055" i="4"/>
  <c r="I1055" i="4" s="1"/>
  <c r="K1054" i="4"/>
  <c r="J1054" i="4"/>
  <c r="H1054" i="4"/>
  <c r="I1054" i="4" s="1"/>
  <c r="K1053" i="4"/>
  <c r="J1053" i="4"/>
  <c r="H1053" i="4"/>
  <c r="I1053" i="4" s="1"/>
  <c r="K1052" i="4"/>
  <c r="J1052" i="4"/>
  <c r="H1052" i="4"/>
  <c r="I1052" i="4" s="1"/>
  <c r="K1051" i="4"/>
  <c r="J1051" i="4"/>
  <c r="H1051" i="4"/>
  <c r="I1051" i="4" s="1"/>
  <c r="K1050" i="4"/>
  <c r="J1050" i="4"/>
  <c r="H1050" i="4"/>
  <c r="I1050" i="4" s="1"/>
  <c r="K1049" i="4"/>
  <c r="J1049" i="4"/>
  <c r="H1049" i="4"/>
  <c r="I1049" i="4" s="1"/>
  <c r="K1048" i="4"/>
  <c r="J1048" i="4"/>
  <c r="H1048" i="4"/>
  <c r="I1048" i="4" s="1"/>
  <c r="K1047" i="4"/>
  <c r="J1047" i="4"/>
  <c r="H1047" i="4"/>
  <c r="I1047" i="4" s="1"/>
  <c r="K1046" i="4"/>
  <c r="J1046" i="4"/>
  <c r="H1046" i="4"/>
  <c r="I1046" i="4" s="1"/>
  <c r="K1045" i="4"/>
  <c r="J1045" i="4"/>
  <c r="H1045" i="4"/>
  <c r="I1045" i="4" s="1"/>
  <c r="K1044" i="4"/>
  <c r="J1044" i="4"/>
  <c r="H1044" i="4"/>
  <c r="I1044" i="4" s="1"/>
  <c r="K1043" i="4"/>
  <c r="J1043" i="4"/>
  <c r="H1043" i="4"/>
  <c r="I1043" i="4" s="1"/>
  <c r="K1042" i="4"/>
  <c r="J1042" i="4"/>
  <c r="H1042" i="4"/>
  <c r="I1042" i="4" s="1"/>
  <c r="K1041" i="4"/>
  <c r="J1041" i="4"/>
  <c r="H1041" i="4"/>
  <c r="I1041" i="4" s="1"/>
  <c r="K1040" i="4"/>
  <c r="J1040" i="4"/>
  <c r="H1040" i="4"/>
  <c r="I1040" i="4" s="1"/>
  <c r="K1039" i="4"/>
  <c r="J1039" i="4"/>
  <c r="H1039" i="4"/>
  <c r="I1039" i="4" s="1"/>
  <c r="K1038" i="4"/>
  <c r="J1038" i="4"/>
  <c r="H1038" i="4"/>
  <c r="I1038" i="4" s="1"/>
  <c r="K1037" i="4"/>
  <c r="J1037" i="4"/>
  <c r="H1037" i="4"/>
  <c r="I1037" i="4" s="1"/>
  <c r="K1036" i="4"/>
  <c r="J1036" i="4"/>
  <c r="H1036" i="4"/>
  <c r="I1036" i="4" s="1"/>
  <c r="K1035" i="4"/>
  <c r="J1035" i="4"/>
  <c r="H1035" i="4"/>
  <c r="I1035" i="4" s="1"/>
  <c r="K1034" i="4"/>
  <c r="J1034" i="4"/>
  <c r="H1034" i="4"/>
  <c r="I1034" i="4" s="1"/>
  <c r="K1033" i="4"/>
  <c r="J1033" i="4"/>
  <c r="H1033" i="4"/>
  <c r="I1033" i="4" s="1"/>
  <c r="K1032" i="4"/>
  <c r="J1032" i="4"/>
  <c r="H1032" i="4"/>
  <c r="I1032" i="4" s="1"/>
  <c r="K1031" i="4"/>
  <c r="J1031" i="4"/>
  <c r="H1031" i="4"/>
  <c r="I1031" i="4" s="1"/>
  <c r="K1030" i="4"/>
  <c r="J1030" i="4"/>
  <c r="H1030" i="4"/>
  <c r="I1030" i="4" s="1"/>
  <c r="K1029" i="4"/>
  <c r="J1029" i="4"/>
  <c r="H1029" i="4"/>
  <c r="I1029" i="4" s="1"/>
  <c r="K1028" i="4"/>
  <c r="J1028" i="4"/>
  <c r="H1028" i="4"/>
  <c r="I1028" i="4" s="1"/>
  <c r="K1027" i="4"/>
  <c r="J1027" i="4"/>
  <c r="H1027" i="4"/>
  <c r="I1027" i="4" s="1"/>
  <c r="K1026" i="4"/>
  <c r="J1026" i="4"/>
  <c r="H1026" i="4"/>
  <c r="I1026" i="4" s="1"/>
  <c r="K1025" i="4"/>
  <c r="J1025" i="4"/>
  <c r="H1025" i="4"/>
  <c r="I1025" i="4" s="1"/>
  <c r="K1024" i="4"/>
  <c r="J1024" i="4"/>
  <c r="H1024" i="4"/>
  <c r="I1024" i="4" s="1"/>
  <c r="K1023" i="4"/>
  <c r="J1023" i="4"/>
  <c r="H1023" i="4"/>
  <c r="I1023" i="4" s="1"/>
  <c r="K1022" i="4"/>
  <c r="J1022" i="4"/>
  <c r="H1022" i="4"/>
  <c r="I1022" i="4" s="1"/>
  <c r="K1021" i="4"/>
  <c r="J1021" i="4"/>
  <c r="H1021" i="4"/>
  <c r="I1021" i="4" s="1"/>
  <c r="K1020" i="4"/>
  <c r="J1020" i="4"/>
  <c r="H1020" i="4"/>
  <c r="I1020" i="4" s="1"/>
  <c r="K1019" i="4"/>
  <c r="J1019" i="4"/>
  <c r="H1019" i="4"/>
  <c r="I1019" i="4" s="1"/>
  <c r="K1018" i="4"/>
  <c r="J1018" i="4"/>
  <c r="H1018" i="4"/>
  <c r="I1018" i="4" s="1"/>
  <c r="K1017" i="4"/>
  <c r="J1017" i="4"/>
  <c r="H1017" i="4"/>
  <c r="I1017" i="4" s="1"/>
  <c r="K1016" i="4"/>
  <c r="J1016" i="4"/>
  <c r="H1016" i="4"/>
  <c r="I1016" i="4" s="1"/>
  <c r="K1015" i="4"/>
  <c r="J1015" i="4"/>
  <c r="H1015" i="4"/>
  <c r="I1015" i="4" s="1"/>
  <c r="K1014" i="4"/>
  <c r="J1014" i="4"/>
  <c r="H1014" i="4"/>
  <c r="I1014" i="4" s="1"/>
  <c r="K1013" i="4"/>
  <c r="J1013" i="4"/>
  <c r="H1013" i="4"/>
  <c r="I1013" i="4" s="1"/>
  <c r="K1012" i="4"/>
  <c r="J1012" i="4"/>
  <c r="H1012" i="4"/>
  <c r="I1012" i="4" s="1"/>
  <c r="K1011" i="4"/>
  <c r="J1011" i="4"/>
  <c r="H1011" i="4"/>
  <c r="I1011" i="4" s="1"/>
  <c r="K1010" i="4"/>
  <c r="J1010" i="4"/>
  <c r="H1010" i="4"/>
  <c r="I1010" i="4" s="1"/>
  <c r="K1009" i="4"/>
  <c r="J1009" i="4"/>
  <c r="H1009" i="4"/>
  <c r="I1009" i="4" s="1"/>
  <c r="K1008" i="4"/>
  <c r="J1008" i="4"/>
  <c r="H1008" i="4"/>
  <c r="I1008" i="4" s="1"/>
  <c r="K1007" i="4"/>
  <c r="J1007" i="4"/>
  <c r="H1007" i="4"/>
  <c r="I1007" i="4" s="1"/>
  <c r="K1006" i="4"/>
  <c r="J1006" i="4"/>
  <c r="H1006" i="4"/>
  <c r="I1006" i="4" s="1"/>
  <c r="K1005" i="4"/>
  <c r="J1005" i="4"/>
  <c r="H1005" i="4"/>
  <c r="I1005" i="4" s="1"/>
  <c r="K1004" i="4"/>
  <c r="J1004" i="4"/>
  <c r="H1004" i="4"/>
  <c r="I1004" i="4" s="1"/>
  <c r="K1003" i="4"/>
  <c r="J1003" i="4"/>
  <c r="H1003" i="4"/>
  <c r="I1003" i="4" s="1"/>
  <c r="K1002" i="4"/>
  <c r="J1002" i="4"/>
  <c r="H1002" i="4"/>
  <c r="I1002" i="4" s="1"/>
  <c r="K1001" i="4"/>
  <c r="J1001" i="4"/>
  <c r="H1001" i="4"/>
  <c r="I1001" i="4" s="1"/>
  <c r="K1000" i="4"/>
  <c r="J1000" i="4"/>
  <c r="H1000" i="4"/>
  <c r="I1000" i="4" s="1"/>
  <c r="K999" i="4"/>
  <c r="J999" i="4"/>
  <c r="H999" i="4"/>
  <c r="I999" i="4" s="1"/>
  <c r="K998" i="4"/>
  <c r="J998" i="4"/>
  <c r="H998" i="4"/>
  <c r="I998" i="4" s="1"/>
  <c r="K997" i="4"/>
  <c r="J997" i="4"/>
  <c r="H997" i="4"/>
  <c r="I997" i="4" s="1"/>
  <c r="K996" i="4"/>
  <c r="J996" i="4"/>
  <c r="H996" i="4"/>
  <c r="I996" i="4" s="1"/>
  <c r="K995" i="4"/>
  <c r="J995" i="4"/>
  <c r="H995" i="4"/>
  <c r="I995" i="4" s="1"/>
  <c r="K994" i="4"/>
  <c r="J994" i="4"/>
  <c r="H994" i="4"/>
  <c r="I994" i="4" s="1"/>
  <c r="K993" i="4"/>
  <c r="J993" i="4"/>
  <c r="H993" i="4"/>
  <c r="I993" i="4" s="1"/>
  <c r="K992" i="4"/>
  <c r="J992" i="4"/>
  <c r="H992" i="4"/>
  <c r="I992" i="4" s="1"/>
  <c r="K991" i="4"/>
  <c r="J991" i="4"/>
  <c r="H991" i="4"/>
  <c r="I991" i="4" s="1"/>
  <c r="K990" i="4"/>
  <c r="J990" i="4"/>
  <c r="H990" i="4"/>
  <c r="I990" i="4" s="1"/>
  <c r="K989" i="4"/>
  <c r="J989" i="4"/>
  <c r="H989" i="4"/>
  <c r="I989" i="4" s="1"/>
  <c r="K988" i="4"/>
  <c r="J988" i="4"/>
  <c r="H988" i="4"/>
  <c r="I988" i="4" s="1"/>
  <c r="K987" i="4"/>
  <c r="J987" i="4"/>
  <c r="H987" i="4"/>
  <c r="I987" i="4" s="1"/>
  <c r="K986" i="4"/>
  <c r="J986" i="4"/>
  <c r="H986" i="4"/>
  <c r="I986" i="4" s="1"/>
  <c r="K985" i="4"/>
  <c r="J985" i="4"/>
  <c r="H985" i="4"/>
  <c r="I985" i="4" s="1"/>
  <c r="K984" i="4"/>
  <c r="J984" i="4"/>
  <c r="H984" i="4"/>
  <c r="I984" i="4" s="1"/>
  <c r="K983" i="4"/>
  <c r="J983" i="4"/>
  <c r="H983" i="4"/>
  <c r="I983" i="4" s="1"/>
  <c r="K982" i="4"/>
  <c r="J982" i="4"/>
  <c r="H982" i="4"/>
  <c r="I982" i="4" s="1"/>
  <c r="K981" i="4"/>
  <c r="J981" i="4"/>
  <c r="H981" i="4"/>
  <c r="I981" i="4" s="1"/>
  <c r="K980" i="4"/>
  <c r="J980" i="4"/>
  <c r="H980" i="4"/>
  <c r="I980" i="4" s="1"/>
  <c r="K979" i="4"/>
  <c r="J979" i="4"/>
  <c r="H979" i="4"/>
  <c r="I979" i="4" s="1"/>
  <c r="K978" i="4"/>
  <c r="J978" i="4"/>
  <c r="H978" i="4"/>
  <c r="I978" i="4" s="1"/>
  <c r="K977" i="4"/>
  <c r="J977" i="4"/>
  <c r="H977" i="4"/>
  <c r="I977" i="4" s="1"/>
  <c r="K976" i="4"/>
  <c r="J976" i="4"/>
  <c r="H976" i="4"/>
  <c r="I976" i="4" s="1"/>
  <c r="K975" i="4"/>
  <c r="J975" i="4"/>
  <c r="H975" i="4"/>
  <c r="I975" i="4" s="1"/>
  <c r="K974" i="4"/>
  <c r="J974" i="4"/>
  <c r="H974" i="4"/>
  <c r="I974" i="4" s="1"/>
  <c r="K973" i="4"/>
  <c r="J973" i="4"/>
  <c r="H973" i="4"/>
  <c r="I973" i="4" s="1"/>
  <c r="K972" i="4"/>
  <c r="J972" i="4"/>
  <c r="H972" i="4"/>
  <c r="I972" i="4" s="1"/>
  <c r="K971" i="4"/>
  <c r="J971" i="4"/>
  <c r="H971" i="4"/>
  <c r="I971" i="4" s="1"/>
  <c r="K970" i="4"/>
  <c r="J970" i="4"/>
  <c r="H970" i="4"/>
  <c r="I970" i="4" s="1"/>
  <c r="K969" i="4"/>
  <c r="J969" i="4"/>
  <c r="H969" i="4"/>
  <c r="I969" i="4" s="1"/>
  <c r="K968" i="4"/>
  <c r="J968" i="4"/>
  <c r="H968" i="4"/>
  <c r="I968" i="4" s="1"/>
  <c r="K967" i="4"/>
  <c r="J967" i="4"/>
  <c r="H967" i="4"/>
  <c r="I967" i="4" s="1"/>
  <c r="K966" i="4"/>
  <c r="J966" i="4"/>
  <c r="H966" i="4"/>
  <c r="I966" i="4" s="1"/>
  <c r="K965" i="4"/>
  <c r="J965" i="4"/>
  <c r="H965" i="4"/>
  <c r="I965" i="4" s="1"/>
  <c r="K964" i="4"/>
  <c r="J964" i="4"/>
  <c r="H964" i="4"/>
  <c r="I964" i="4" s="1"/>
  <c r="K963" i="4"/>
  <c r="J963" i="4"/>
  <c r="H963" i="4"/>
  <c r="I963" i="4" s="1"/>
  <c r="K962" i="4"/>
  <c r="J962" i="4"/>
  <c r="H962" i="4"/>
  <c r="I962" i="4" s="1"/>
  <c r="K961" i="4"/>
  <c r="J961" i="4"/>
  <c r="H961" i="4"/>
  <c r="I961" i="4" s="1"/>
  <c r="K960" i="4"/>
  <c r="J960" i="4"/>
  <c r="H960" i="4"/>
  <c r="I960" i="4" s="1"/>
  <c r="K959" i="4"/>
  <c r="J959" i="4"/>
  <c r="H959" i="4"/>
  <c r="I959" i="4" s="1"/>
  <c r="K958" i="4"/>
  <c r="J958" i="4"/>
  <c r="H958" i="4"/>
  <c r="I958" i="4" s="1"/>
  <c r="K957" i="4"/>
  <c r="J957" i="4"/>
  <c r="H957" i="4"/>
  <c r="I957" i="4" s="1"/>
  <c r="K956" i="4"/>
  <c r="J956" i="4"/>
  <c r="H956" i="4"/>
  <c r="I956" i="4" s="1"/>
  <c r="K955" i="4"/>
  <c r="J955" i="4"/>
  <c r="H955" i="4"/>
  <c r="I955" i="4" s="1"/>
  <c r="K954" i="4"/>
  <c r="J954" i="4"/>
  <c r="H954" i="4"/>
  <c r="I954" i="4" s="1"/>
  <c r="K953" i="4"/>
  <c r="J953" i="4"/>
  <c r="H953" i="4"/>
  <c r="I953" i="4" s="1"/>
  <c r="K952" i="4"/>
  <c r="J952" i="4"/>
  <c r="H952" i="4"/>
  <c r="I952" i="4" s="1"/>
  <c r="K951" i="4"/>
  <c r="J951" i="4"/>
  <c r="H951" i="4"/>
  <c r="I951" i="4" s="1"/>
  <c r="K950" i="4"/>
  <c r="J950" i="4"/>
  <c r="H950" i="4"/>
  <c r="I950" i="4" s="1"/>
  <c r="K949" i="4"/>
  <c r="J949" i="4"/>
  <c r="H949" i="4"/>
  <c r="I949" i="4" s="1"/>
  <c r="K948" i="4"/>
  <c r="J948" i="4"/>
  <c r="H948" i="4"/>
  <c r="I948" i="4" s="1"/>
  <c r="K947" i="4"/>
  <c r="J947" i="4"/>
  <c r="H947" i="4"/>
  <c r="I947" i="4" s="1"/>
  <c r="K946" i="4"/>
  <c r="J946" i="4"/>
  <c r="H946" i="4"/>
  <c r="I946" i="4" s="1"/>
  <c r="K945" i="4"/>
  <c r="J945" i="4"/>
  <c r="H945" i="4"/>
  <c r="I945" i="4" s="1"/>
  <c r="K944" i="4"/>
  <c r="J944" i="4"/>
  <c r="H944" i="4"/>
  <c r="I944" i="4" s="1"/>
  <c r="K943" i="4"/>
  <c r="J943" i="4"/>
  <c r="H943" i="4"/>
  <c r="I943" i="4" s="1"/>
  <c r="K942" i="4"/>
  <c r="J942" i="4"/>
  <c r="H942" i="4"/>
  <c r="I942" i="4" s="1"/>
  <c r="K941" i="4"/>
  <c r="J941" i="4"/>
  <c r="H941" i="4"/>
  <c r="I941" i="4" s="1"/>
  <c r="K940" i="4"/>
  <c r="J940" i="4"/>
  <c r="H940" i="4"/>
  <c r="I940" i="4" s="1"/>
  <c r="K939" i="4"/>
  <c r="J939" i="4"/>
  <c r="H939" i="4"/>
  <c r="I939" i="4" s="1"/>
  <c r="K938" i="4"/>
  <c r="J938" i="4"/>
  <c r="H938" i="4"/>
  <c r="I938" i="4" s="1"/>
  <c r="K937" i="4"/>
  <c r="J937" i="4"/>
  <c r="H937" i="4"/>
  <c r="I937" i="4" s="1"/>
  <c r="K936" i="4"/>
  <c r="J936" i="4"/>
  <c r="H936" i="4"/>
  <c r="I936" i="4" s="1"/>
  <c r="K935" i="4"/>
  <c r="J935" i="4"/>
  <c r="H935" i="4"/>
  <c r="I935" i="4" s="1"/>
  <c r="K934" i="4"/>
  <c r="J934" i="4"/>
  <c r="H934" i="4"/>
  <c r="I934" i="4" s="1"/>
  <c r="K933" i="4"/>
  <c r="J933" i="4"/>
  <c r="H933" i="4"/>
  <c r="I933" i="4" s="1"/>
  <c r="K932" i="4"/>
  <c r="J932" i="4"/>
  <c r="H932" i="4"/>
  <c r="I932" i="4" s="1"/>
  <c r="K931" i="4"/>
  <c r="J931" i="4"/>
  <c r="H931" i="4"/>
  <c r="I931" i="4" s="1"/>
  <c r="K930" i="4"/>
  <c r="J930" i="4"/>
  <c r="H930" i="4"/>
  <c r="I930" i="4" s="1"/>
  <c r="K929" i="4"/>
  <c r="J929" i="4"/>
  <c r="H929" i="4"/>
  <c r="I929" i="4" s="1"/>
  <c r="K928" i="4"/>
  <c r="J928" i="4"/>
  <c r="H928" i="4"/>
  <c r="I928" i="4" s="1"/>
  <c r="K927" i="4"/>
  <c r="J927" i="4"/>
  <c r="H927" i="4"/>
  <c r="I927" i="4" s="1"/>
  <c r="K926" i="4"/>
  <c r="J926" i="4"/>
  <c r="H926" i="4"/>
  <c r="I926" i="4" s="1"/>
  <c r="K925" i="4"/>
  <c r="J925" i="4"/>
  <c r="H925" i="4"/>
  <c r="I925" i="4" s="1"/>
  <c r="K924" i="4"/>
  <c r="J924" i="4"/>
  <c r="H924" i="4"/>
  <c r="I924" i="4" s="1"/>
  <c r="K923" i="4"/>
  <c r="J923" i="4"/>
  <c r="H923" i="4"/>
  <c r="I923" i="4" s="1"/>
  <c r="K922" i="4"/>
  <c r="J922" i="4"/>
  <c r="H922" i="4"/>
  <c r="I922" i="4" s="1"/>
  <c r="K921" i="4"/>
  <c r="J921" i="4"/>
  <c r="H921" i="4"/>
  <c r="I921" i="4" s="1"/>
  <c r="K920" i="4"/>
  <c r="J920" i="4"/>
  <c r="H920" i="4"/>
  <c r="I920" i="4" s="1"/>
  <c r="K919" i="4"/>
  <c r="J919" i="4"/>
  <c r="H919" i="4"/>
  <c r="I919" i="4" s="1"/>
  <c r="K918" i="4"/>
  <c r="J918" i="4"/>
  <c r="H918" i="4"/>
  <c r="I918" i="4" s="1"/>
  <c r="K917" i="4"/>
  <c r="J917" i="4"/>
  <c r="H917" i="4"/>
  <c r="I917" i="4" s="1"/>
  <c r="K916" i="4"/>
  <c r="J916" i="4"/>
  <c r="H916" i="4"/>
  <c r="I916" i="4" s="1"/>
  <c r="K915" i="4"/>
  <c r="J915" i="4"/>
  <c r="H915" i="4"/>
  <c r="I915" i="4" s="1"/>
  <c r="K914" i="4"/>
  <c r="J914" i="4"/>
  <c r="H914" i="4"/>
  <c r="I914" i="4" s="1"/>
  <c r="K913" i="4"/>
  <c r="J913" i="4"/>
  <c r="H913" i="4"/>
  <c r="I913" i="4" s="1"/>
  <c r="K912" i="4"/>
  <c r="J912" i="4"/>
  <c r="H912" i="4"/>
  <c r="I912" i="4" s="1"/>
  <c r="K911" i="4"/>
  <c r="J911" i="4"/>
  <c r="H911" i="4"/>
  <c r="I911" i="4" s="1"/>
  <c r="K910" i="4"/>
  <c r="J910" i="4"/>
  <c r="H910" i="4"/>
  <c r="I910" i="4" s="1"/>
  <c r="K909" i="4"/>
  <c r="J909" i="4"/>
  <c r="H909" i="4"/>
  <c r="I909" i="4" s="1"/>
  <c r="K908" i="4"/>
  <c r="J908" i="4"/>
  <c r="H908" i="4"/>
  <c r="I908" i="4" s="1"/>
  <c r="K907" i="4"/>
  <c r="J907" i="4"/>
  <c r="H907" i="4"/>
  <c r="I907" i="4" s="1"/>
  <c r="K906" i="4"/>
  <c r="J906" i="4"/>
  <c r="H906" i="4"/>
  <c r="I906" i="4" s="1"/>
  <c r="K905" i="4"/>
  <c r="J905" i="4"/>
  <c r="H905" i="4"/>
  <c r="I905" i="4" s="1"/>
  <c r="K904" i="4"/>
  <c r="J904" i="4"/>
  <c r="H904" i="4"/>
  <c r="I904" i="4" s="1"/>
  <c r="K903" i="4"/>
  <c r="J903" i="4"/>
  <c r="H903" i="4"/>
  <c r="I903" i="4" s="1"/>
  <c r="K902" i="4"/>
  <c r="J902" i="4"/>
  <c r="H902" i="4"/>
  <c r="I902" i="4" s="1"/>
  <c r="K901" i="4"/>
  <c r="J901" i="4"/>
  <c r="H901" i="4"/>
  <c r="I901" i="4" s="1"/>
  <c r="K900" i="4"/>
  <c r="J900" i="4"/>
  <c r="H900" i="4"/>
  <c r="I900" i="4" s="1"/>
  <c r="K899" i="4"/>
  <c r="J899" i="4"/>
  <c r="H899" i="4"/>
  <c r="I899" i="4" s="1"/>
  <c r="K898" i="4"/>
  <c r="J898" i="4"/>
  <c r="H898" i="4"/>
  <c r="I898" i="4" s="1"/>
  <c r="K897" i="4"/>
  <c r="J897" i="4"/>
  <c r="H897" i="4"/>
  <c r="I897" i="4" s="1"/>
  <c r="K896" i="4"/>
  <c r="J896" i="4"/>
  <c r="H896" i="4"/>
  <c r="I896" i="4" s="1"/>
  <c r="K895" i="4"/>
  <c r="J895" i="4"/>
  <c r="H895" i="4"/>
  <c r="I895" i="4" s="1"/>
  <c r="K894" i="4"/>
  <c r="J894" i="4"/>
  <c r="H894" i="4"/>
  <c r="I894" i="4" s="1"/>
  <c r="K893" i="4"/>
  <c r="J893" i="4"/>
  <c r="H893" i="4"/>
  <c r="I893" i="4" s="1"/>
  <c r="K892" i="4"/>
  <c r="J892" i="4"/>
  <c r="H892" i="4"/>
  <c r="I892" i="4" s="1"/>
  <c r="K891" i="4"/>
  <c r="J891" i="4"/>
  <c r="H891" i="4"/>
  <c r="I891" i="4" s="1"/>
  <c r="K890" i="4"/>
  <c r="J890" i="4"/>
  <c r="H890" i="4"/>
  <c r="I890" i="4" s="1"/>
  <c r="K889" i="4"/>
  <c r="J889" i="4"/>
  <c r="H889" i="4"/>
  <c r="I889" i="4" s="1"/>
  <c r="K888" i="4"/>
  <c r="J888" i="4"/>
  <c r="H888" i="4"/>
  <c r="I888" i="4" s="1"/>
  <c r="K887" i="4"/>
  <c r="J887" i="4"/>
  <c r="H887" i="4"/>
  <c r="I887" i="4" s="1"/>
  <c r="K886" i="4"/>
  <c r="J886" i="4"/>
  <c r="H886" i="4"/>
  <c r="I886" i="4" s="1"/>
  <c r="K885" i="4"/>
  <c r="J885" i="4"/>
  <c r="H885" i="4"/>
  <c r="I885" i="4" s="1"/>
  <c r="K884" i="4"/>
  <c r="J884" i="4"/>
  <c r="H884" i="4"/>
  <c r="I884" i="4" s="1"/>
  <c r="K883" i="4"/>
  <c r="J883" i="4"/>
  <c r="H883" i="4"/>
  <c r="I883" i="4" s="1"/>
  <c r="K882" i="4"/>
  <c r="J882" i="4"/>
  <c r="H882" i="4"/>
  <c r="I882" i="4" s="1"/>
  <c r="K881" i="4"/>
  <c r="J881" i="4"/>
  <c r="H881" i="4"/>
  <c r="I881" i="4" s="1"/>
  <c r="K880" i="4"/>
  <c r="J880" i="4"/>
  <c r="H880" i="4"/>
  <c r="I880" i="4" s="1"/>
  <c r="K879" i="4"/>
  <c r="J879" i="4"/>
  <c r="H879" i="4"/>
  <c r="I879" i="4" s="1"/>
  <c r="K878" i="4"/>
  <c r="J878" i="4"/>
  <c r="H878" i="4"/>
  <c r="I878" i="4" s="1"/>
  <c r="K877" i="4"/>
  <c r="J877" i="4"/>
  <c r="H877" i="4"/>
  <c r="I877" i="4" s="1"/>
  <c r="K876" i="4"/>
  <c r="J876" i="4"/>
  <c r="H876" i="4"/>
  <c r="I876" i="4" s="1"/>
  <c r="K875" i="4"/>
  <c r="J875" i="4"/>
  <c r="H875" i="4"/>
  <c r="I875" i="4" s="1"/>
  <c r="K874" i="4"/>
  <c r="J874" i="4"/>
  <c r="H874" i="4"/>
  <c r="I874" i="4" s="1"/>
  <c r="K873" i="4"/>
  <c r="J873" i="4"/>
  <c r="H873" i="4"/>
  <c r="I873" i="4" s="1"/>
  <c r="K872" i="4"/>
  <c r="J872" i="4"/>
  <c r="H872" i="4"/>
  <c r="I872" i="4" s="1"/>
  <c r="K871" i="4"/>
  <c r="J871" i="4"/>
  <c r="H871" i="4"/>
  <c r="I871" i="4" s="1"/>
  <c r="K870" i="4"/>
  <c r="J870" i="4"/>
  <c r="H870" i="4"/>
  <c r="I870" i="4" s="1"/>
  <c r="K869" i="4"/>
  <c r="J869" i="4"/>
  <c r="H869" i="4"/>
  <c r="I869" i="4" s="1"/>
  <c r="K868" i="4"/>
  <c r="J868" i="4"/>
  <c r="H868" i="4"/>
  <c r="I868" i="4" s="1"/>
  <c r="K867" i="4"/>
  <c r="J867" i="4"/>
  <c r="H867" i="4"/>
  <c r="I867" i="4" s="1"/>
  <c r="K866" i="4"/>
  <c r="J866" i="4"/>
  <c r="H866" i="4"/>
  <c r="I866" i="4" s="1"/>
  <c r="K865" i="4"/>
  <c r="J865" i="4"/>
  <c r="H865" i="4"/>
  <c r="I865" i="4" s="1"/>
  <c r="K864" i="4"/>
  <c r="J864" i="4"/>
  <c r="H864" i="4"/>
  <c r="I864" i="4" s="1"/>
  <c r="K863" i="4"/>
  <c r="J863" i="4"/>
  <c r="H863" i="4"/>
  <c r="I863" i="4" s="1"/>
  <c r="K862" i="4"/>
  <c r="J862" i="4"/>
  <c r="H862" i="4"/>
  <c r="I862" i="4" s="1"/>
  <c r="K861" i="4"/>
  <c r="J861" i="4"/>
  <c r="H861" i="4"/>
  <c r="I861" i="4" s="1"/>
  <c r="K860" i="4"/>
  <c r="J860" i="4"/>
  <c r="H860" i="4"/>
  <c r="I860" i="4" s="1"/>
  <c r="K859" i="4"/>
  <c r="J859" i="4"/>
  <c r="H859" i="4"/>
  <c r="I859" i="4" s="1"/>
  <c r="K858" i="4"/>
  <c r="J858" i="4"/>
  <c r="H858" i="4"/>
  <c r="I858" i="4" s="1"/>
  <c r="K857" i="4"/>
  <c r="J857" i="4"/>
  <c r="H857" i="4"/>
  <c r="I857" i="4" s="1"/>
  <c r="K856" i="4"/>
  <c r="J856" i="4"/>
  <c r="H856" i="4"/>
  <c r="I856" i="4" s="1"/>
  <c r="K855" i="4"/>
  <c r="J855" i="4"/>
  <c r="H855" i="4"/>
  <c r="I855" i="4" s="1"/>
  <c r="K854" i="4"/>
  <c r="J854" i="4"/>
  <c r="H854" i="4"/>
  <c r="I854" i="4" s="1"/>
  <c r="K853" i="4"/>
  <c r="J853" i="4"/>
  <c r="H853" i="4"/>
  <c r="I853" i="4" s="1"/>
  <c r="K852" i="4"/>
  <c r="J852" i="4"/>
  <c r="H852" i="4"/>
  <c r="I852" i="4" s="1"/>
  <c r="K851" i="4"/>
  <c r="J851" i="4"/>
  <c r="H851" i="4"/>
  <c r="I851" i="4" s="1"/>
  <c r="K850" i="4"/>
  <c r="J850" i="4"/>
  <c r="H850" i="4"/>
  <c r="I850" i="4" s="1"/>
  <c r="K849" i="4"/>
  <c r="J849" i="4"/>
  <c r="H849" i="4"/>
  <c r="I849" i="4" s="1"/>
  <c r="K848" i="4"/>
  <c r="J848" i="4"/>
  <c r="H848" i="4"/>
  <c r="I848" i="4" s="1"/>
  <c r="K847" i="4"/>
  <c r="J847" i="4"/>
  <c r="H847" i="4"/>
  <c r="I847" i="4" s="1"/>
  <c r="K846" i="4"/>
  <c r="J846" i="4"/>
  <c r="H846" i="4"/>
  <c r="I846" i="4" s="1"/>
  <c r="K845" i="4"/>
  <c r="J845" i="4"/>
  <c r="H845" i="4"/>
  <c r="I845" i="4" s="1"/>
  <c r="K844" i="4"/>
  <c r="J844" i="4"/>
  <c r="H844" i="4"/>
  <c r="I844" i="4" s="1"/>
  <c r="K843" i="4"/>
  <c r="J843" i="4"/>
  <c r="H843" i="4"/>
  <c r="I843" i="4" s="1"/>
  <c r="K842" i="4"/>
  <c r="J842" i="4"/>
  <c r="H842" i="4"/>
  <c r="I842" i="4" s="1"/>
  <c r="K841" i="4"/>
  <c r="J841" i="4"/>
  <c r="H841" i="4"/>
  <c r="I841" i="4" s="1"/>
  <c r="K840" i="4"/>
  <c r="J840" i="4"/>
  <c r="H840" i="4"/>
  <c r="I840" i="4" s="1"/>
  <c r="K839" i="4"/>
  <c r="J839" i="4"/>
  <c r="H839" i="4"/>
  <c r="I839" i="4" s="1"/>
  <c r="K838" i="4"/>
  <c r="J838" i="4"/>
  <c r="H838" i="4"/>
  <c r="I838" i="4" s="1"/>
  <c r="K837" i="4"/>
  <c r="J837" i="4"/>
  <c r="H837" i="4"/>
  <c r="I837" i="4" s="1"/>
  <c r="K836" i="4"/>
  <c r="J836" i="4"/>
  <c r="H836" i="4"/>
  <c r="I836" i="4" s="1"/>
  <c r="K835" i="4"/>
  <c r="J835" i="4"/>
  <c r="H835" i="4"/>
  <c r="I835" i="4" s="1"/>
  <c r="K834" i="4"/>
  <c r="J834" i="4"/>
  <c r="H834" i="4"/>
  <c r="I834" i="4" s="1"/>
  <c r="K833" i="4"/>
  <c r="J833" i="4"/>
  <c r="H833" i="4"/>
  <c r="I833" i="4" s="1"/>
  <c r="K832" i="4"/>
  <c r="J832" i="4"/>
  <c r="H832" i="4"/>
  <c r="I832" i="4" s="1"/>
  <c r="K831" i="4"/>
  <c r="J831" i="4"/>
  <c r="H831" i="4"/>
  <c r="I831" i="4" s="1"/>
  <c r="K830" i="4"/>
  <c r="J830" i="4"/>
  <c r="H830" i="4"/>
  <c r="I830" i="4" s="1"/>
  <c r="K829" i="4"/>
  <c r="J829" i="4"/>
  <c r="H829" i="4"/>
  <c r="I829" i="4" s="1"/>
  <c r="K828" i="4"/>
  <c r="J828" i="4"/>
  <c r="H828" i="4"/>
  <c r="I828" i="4" s="1"/>
  <c r="K827" i="4"/>
  <c r="J827" i="4"/>
  <c r="H827" i="4"/>
  <c r="I827" i="4" s="1"/>
  <c r="K826" i="4"/>
  <c r="J826" i="4"/>
  <c r="H826" i="4"/>
  <c r="I826" i="4" s="1"/>
  <c r="K825" i="4"/>
  <c r="J825" i="4"/>
  <c r="H825" i="4"/>
  <c r="I825" i="4" s="1"/>
  <c r="K824" i="4"/>
  <c r="J824" i="4"/>
  <c r="H824" i="4"/>
  <c r="I824" i="4" s="1"/>
  <c r="K823" i="4"/>
  <c r="J823" i="4"/>
  <c r="H823" i="4"/>
  <c r="I823" i="4" s="1"/>
  <c r="K822" i="4"/>
  <c r="J822" i="4"/>
  <c r="H822" i="4"/>
  <c r="I822" i="4" s="1"/>
  <c r="K821" i="4"/>
  <c r="J821" i="4"/>
  <c r="H821" i="4"/>
  <c r="I821" i="4" s="1"/>
  <c r="K820" i="4"/>
  <c r="J820" i="4"/>
  <c r="H820" i="4"/>
  <c r="I820" i="4" s="1"/>
  <c r="K819" i="4"/>
  <c r="J819" i="4"/>
  <c r="H819" i="4"/>
  <c r="I819" i="4" s="1"/>
  <c r="K818" i="4"/>
  <c r="J818" i="4"/>
  <c r="H818" i="4"/>
  <c r="I818" i="4" s="1"/>
  <c r="K817" i="4"/>
  <c r="J817" i="4"/>
  <c r="H817" i="4"/>
  <c r="I817" i="4" s="1"/>
  <c r="K816" i="4"/>
  <c r="J816" i="4"/>
  <c r="H816" i="4"/>
  <c r="I816" i="4" s="1"/>
  <c r="K815" i="4"/>
  <c r="J815" i="4"/>
  <c r="H815" i="4"/>
  <c r="I815" i="4" s="1"/>
  <c r="K814" i="4"/>
  <c r="J814" i="4"/>
  <c r="H814" i="4"/>
  <c r="I814" i="4" s="1"/>
  <c r="K813" i="4"/>
  <c r="J813" i="4"/>
  <c r="H813" i="4"/>
  <c r="I813" i="4" s="1"/>
  <c r="K812" i="4"/>
  <c r="J812" i="4"/>
  <c r="H812" i="4"/>
  <c r="I812" i="4" s="1"/>
  <c r="K811" i="4"/>
  <c r="J811" i="4"/>
  <c r="H811" i="4"/>
  <c r="I811" i="4" s="1"/>
  <c r="K810" i="4"/>
  <c r="J810" i="4"/>
  <c r="H810" i="4"/>
  <c r="I810" i="4" s="1"/>
  <c r="K809" i="4"/>
  <c r="J809" i="4"/>
  <c r="H809" i="4"/>
  <c r="I809" i="4" s="1"/>
  <c r="K808" i="4"/>
  <c r="J808" i="4"/>
  <c r="H808" i="4"/>
  <c r="I808" i="4" s="1"/>
  <c r="K807" i="4"/>
  <c r="J807" i="4"/>
  <c r="H807" i="4"/>
  <c r="I807" i="4" s="1"/>
  <c r="K806" i="4"/>
  <c r="J806" i="4"/>
  <c r="H806" i="4"/>
  <c r="I806" i="4" s="1"/>
  <c r="K805" i="4"/>
  <c r="J805" i="4"/>
  <c r="H805" i="4"/>
  <c r="I805" i="4" s="1"/>
  <c r="K804" i="4"/>
  <c r="J804" i="4"/>
  <c r="H804" i="4"/>
  <c r="I804" i="4" s="1"/>
  <c r="K803" i="4"/>
  <c r="J803" i="4"/>
  <c r="H803" i="4"/>
  <c r="I803" i="4" s="1"/>
  <c r="K802" i="4"/>
  <c r="J802" i="4"/>
  <c r="H802" i="4"/>
  <c r="I802" i="4" s="1"/>
  <c r="K801" i="4"/>
  <c r="J801" i="4"/>
  <c r="H801" i="4"/>
  <c r="I801" i="4" s="1"/>
  <c r="K800" i="4"/>
  <c r="J800" i="4"/>
  <c r="H800" i="4"/>
  <c r="I800" i="4" s="1"/>
  <c r="K799" i="4"/>
  <c r="J799" i="4"/>
  <c r="H799" i="4"/>
  <c r="I799" i="4" s="1"/>
  <c r="K798" i="4"/>
  <c r="J798" i="4"/>
  <c r="H798" i="4"/>
  <c r="I798" i="4" s="1"/>
  <c r="K797" i="4"/>
  <c r="J797" i="4"/>
  <c r="H797" i="4"/>
  <c r="I797" i="4" s="1"/>
  <c r="K796" i="4"/>
  <c r="J796" i="4"/>
  <c r="H796" i="4"/>
  <c r="I796" i="4" s="1"/>
  <c r="K795" i="4"/>
  <c r="J795" i="4"/>
  <c r="H795" i="4"/>
  <c r="I795" i="4" s="1"/>
  <c r="K794" i="4"/>
  <c r="J794" i="4"/>
  <c r="H794" i="4"/>
  <c r="I794" i="4" s="1"/>
  <c r="K793" i="4"/>
  <c r="J793" i="4"/>
  <c r="H793" i="4"/>
  <c r="I793" i="4" s="1"/>
  <c r="K792" i="4"/>
  <c r="J792" i="4"/>
  <c r="H792" i="4"/>
  <c r="I792" i="4" s="1"/>
  <c r="K791" i="4"/>
  <c r="J791" i="4"/>
  <c r="H791" i="4"/>
  <c r="I791" i="4" s="1"/>
  <c r="K790" i="4"/>
  <c r="J790" i="4"/>
  <c r="H790" i="4"/>
  <c r="I790" i="4" s="1"/>
  <c r="K789" i="4"/>
  <c r="J789" i="4"/>
  <c r="H789" i="4"/>
  <c r="I789" i="4" s="1"/>
  <c r="K788" i="4"/>
  <c r="J788" i="4"/>
  <c r="H788" i="4"/>
  <c r="I788" i="4" s="1"/>
  <c r="K787" i="4"/>
  <c r="J787" i="4"/>
  <c r="H787" i="4"/>
  <c r="I787" i="4" s="1"/>
  <c r="K786" i="4"/>
  <c r="J786" i="4"/>
  <c r="H786" i="4"/>
  <c r="I786" i="4" s="1"/>
  <c r="K785" i="4"/>
  <c r="J785" i="4"/>
  <c r="H785" i="4"/>
  <c r="I785" i="4" s="1"/>
  <c r="K784" i="4"/>
  <c r="J784" i="4"/>
  <c r="H784" i="4"/>
  <c r="I784" i="4" s="1"/>
  <c r="K783" i="4"/>
  <c r="J783" i="4"/>
  <c r="H783" i="4"/>
  <c r="I783" i="4" s="1"/>
  <c r="K782" i="4"/>
  <c r="J782" i="4"/>
  <c r="H782" i="4"/>
  <c r="I782" i="4" s="1"/>
  <c r="K781" i="4"/>
  <c r="J781" i="4"/>
  <c r="H781" i="4"/>
  <c r="I781" i="4" s="1"/>
  <c r="K780" i="4"/>
  <c r="J780" i="4"/>
  <c r="H780" i="4"/>
  <c r="I780" i="4" s="1"/>
  <c r="K779" i="4"/>
  <c r="J779" i="4"/>
  <c r="H779" i="4"/>
  <c r="I779" i="4" s="1"/>
  <c r="K778" i="4"/>
  <c r="J778" i="4"/>
  <c r="H778" i="4"/>
  <c r="I778" i="4" s="1"/>
  <c r="K777" i="4"/>
  <c r="J777" i="4"/>
  <c r="H777" i="4"/>
  <c r="I777" i="4" s="1"/>
  <c r="K776" i="4"/>
  <c r="J776" i="4"/>
  <c r="H776" i="4"/>
  <c r="I776" i="4" s="1"/>
  <c r="K775" i="4"/>
  <c r="J775" i="4"/>
  <c r="H775" i="4"/>
  <c r="I775" i="4" s="1"/>
  <c r="K774" i="4"/>
  <c r="J774" i="4"/>
  <c r="H774" i="4"/>
  <c r="I774" i="4" s="1"/>
  <c r="K773" i="4"/>
  <c r="J773" i="4"/>
  <c r="H773" i="4"/>
  <c r="I773" i="4" s="1"/>
  <c r="K772" i="4"/>
  <c r="J772" i="4"/>
  <c r="H772" i="4"/>
  <c r="I772" i="4" s="1"/>
  <c r="K771" i="4"/>
  <c r="J771" i="4"/>
  <c r="H771" i="4"/>
  <c r="I771" i="4" s="1"/>
  <c r="K770" i="4"/>
  <c r="J770" i="4"/>
  <c r="H770" i="4"/>
  <c r="I770" i="4" s="1"/>
  <c r="K769" i="4"/>
  <c r="J769" i="4"/>
  <c r="H769" i="4"/>
  <c r="I769" i="4" s="1"/>
  <c r="K768" i="4"/>
  <c r="J768" i="4"/>
  <c r="H768" i="4"/>
  <c r="I768" i="4" s="1"/>
  <c r="K767" i="4"/>
  <c r="J767" i="4"/>
  <c r="H767" i="4"/>
  <c r="I767" i="4" s="1"/>
  <c r="K766" i="4"/>
  <c r="J766" i="4"/>
  <c r="H766" i="4"/>
  <c r="I766" i="4" s="1"/>
  <c r="K765" i="4"/>
  <c r="J765" i="4"/>
  <c r="H765" i="4"/>
  <c r="I765" i="4" s="1"/>
  <c r="K764" i="4"/>
  <c r="J764" i="4"/>
  <c r="H764" i="4"/>
  <c r="I764" i="4" s="1"/>
  <c r="K763" i="4"/>
  <c r="J763" i="4"/>
  <c r="H763" i="4"/>
  <c r="I763" i="4" s="1"/>
  <c r="K762" i="4"/>
  <c r="J762" i="4"/>
  <c r="H762" i="4"/>
  <c r="I762" i="4" s="1"/>
  <c r="K761" i="4"/>
  <c r="J761" i="4"/>
  <c r="H761" i="4"/>
  <c r="I761" i="4" s="1"/>
  <c r="K760" i="4"/>
  <c r="J760" i="4"/>
  <c r="H760" i="4"/>
  <c r="I760" i="4" s="1"/>
  <c r="K759" i="4"/>
  <c r="J759" i="4"/>
  <c r="H759" i="4"/>
  <c r="I759" i="4" s="1"/>
  <c r="K758" i="4"/>
  <c r="J758" i="4"/>
  <c r="H758" i="4"/>
  <c r="I758" i="4" s="1"/>
  <c r="K757" i="4"/>
  <c r="J757" i="4"/>
  <c r="H757" i="4"/>
  <c r="I757" i="4" s="1"/>
  <c r="K756" i="4"/>
  <c r="J756" i="4"/>
  <c r="H756" i="4"/>
  <c r="I756" i="4" s="1"/>
  <c r="K755" i="4"/>
  <c r="J755" i="4"/>
  <c r="H755" i="4"/>
  <c r="I755" i="4" s="1"/>
  <c r="K754" i="4"/>
  <c r="J754" i="4"/>
  <c r="H754" i="4"/>
  <c r="I754" i="4" s="1"/>
  <c r="K753" i="4"/>
  <c r="J753" i="4"/>
  <c r="H753" i="4"/>
  <c r="I753" i="4" s="1"/>
  <c r="K752" i="4"/>
  <c r="J752" i="4"/>
  <c r="H752" i="4"/>
  <c r="I752" i="4" s="1"/>
  <c r="K751" i="4"/>
  <c r="J751" i="4"/>
  <c r="H751" i="4"/>
  <c r="I751" i="4" s="1"/>
  <c r="K750" i="4"/>
  <c r="J750" i="4"/>
  <c r="H750" i="4"/>
  <c r="I750" i="4" s="1"/>
  <c r="K749" i="4"/>
  <c r="J749" i="4"/>
  <c r="H749" i="4"/>
  <c r="I749" i="4" s="1"/>
  <c r="K748" i="4"/>
  <c r="J748" i="4"/>
  <c r="H748" i="4"/>
  <c r="I748" i="4" s="1"/>
  <c r="K747" i="4"/>
  <c r="J747" i="4"/>
  <c r="H747" i="4"/>
  <c r="I747" i="4" s="1"/>
  <c r="K746" i="4"/>
  <c r="J746" i="4"/>
  <c r="H746" i="4"/>
  <c r="I746" i="4" s="1"/>
  <c r="K745" i="4"/>
  <c r="J745" i="4"/>
  <c r="H745" i="4"/>
  <c r="I745" i="4" s="1"/>
  <c r="K744" i="4"/>
  <c r="J744" i="4"/>
  <c r="H744" i="4"/>
  <c r="I744" i="4" s="1"/>
  <c r="K743" i="4"/>
  <c r="J743" i="4"/>
  <c r="H743" i="4"/>
  <c r="I743" i="4" s="1"/>
  <c r="K742" i="4"/>
  <c r="J742" i="4"/>
  <c r="H742" i="4"/>
  <c r="I742" i="4" s="1"/>
  <c r="K741" i="4"/>
  <c r="J741" i="4"/>
  <c r="H741" i="4"/>
  <c r="I741" i="4" s="1"/>
  <c r="K740" i="4"/>
  <c r="J740" i="4"/>
  <c r="H740" i="4"/>
  <c r="I740" i="4" s="1"/>
  <c r="K739" i="4"/>
  <c r="J739" i="4"/>
  <c r="H739" i="4"/>
  <c r="I739" i="4" s="1"/>
  <c r="K738" i="4"/>
  <c r="J738" i="4"/>
  <c r="H738" i="4"/>
  <c r="I738" i="4" s="1"/>
  <c r="K737" i="4"/>
  <c r="J737" i="4"/>
  <c r="H737" i="4"/>
  <c r="I737" i="4" s="1"/>
  <c r="K736" i="4"/>
  <c r="J736" i="4"/>
  <c r="H736" i="4"/>
  <c r="I736" i="4" s="1"/>
  <c r="K735" i="4"/>
  <c r="J735" i="4"/>
  <c r="H735" i="4"/>
  <c r="I735" i="4" s="1"/>
  <c r="K734" i="4"/>
  <c r="J734" i="4"/>
  <c r="H734" i="4"/>
  <c r="I734" i="4" s="1"/>
  <c r="K733" i="4"/>
  <c r="J733" i="4"/>
  <c r="H733" i="4"/>
  <c r="I733" i="4" s="1"/>
  <c r="K732" i="4"/>
  <c r="J732" i="4"/>
  <c r="H732" i="4"/>
  <c r="I732" i="4" s="1"/>
  <c r="K731" i="4"/>
  <c r="J731" i="4"/>
  <c r="H731" i="4"/>
  <c r="I731" i="4" s="1"/>
  <c r="K730" i="4"/>
  <c r="J730" i="4"/>
  <c r="H730" i="4"/>
  <c r="I730" i="4" s="1"/>
  <c r="K729" i="4"/>
  <c r="J729" i="4"/>
  <c r="H729" i="4"/>
  <c r="I729" i="4" s="1"/>
  <c r="K728" i="4"/>
  <c r="J728" i="4"/>
  <c r="H728" i="4"/>
  <c r="I728" i="4" s="1"/>
  <c r="K727" i="4"/>
  <c r="J727" i="4"/>
  <c r="H727" i="4"/>
  <c r="I727" i="4" s="1"/>
  <c r="K726" i="4"/>
  <c r="J726" i="4"/>
  <c r="H726" i="4"/>
  <c r="I726" i="4" s="1"/>
  <c r="K725" i="4"/>
  <c r="J725" i="4"/>
  <c r="H725" i="4"/>
  <c r="I725" i="4" s="1"/>
  <c r="K724" i="4"/>
  <c r="J724" i="4"/>
  <c r="H724" i="4"/>
  <c r="I724" i="4" s="1"/>
  <c r="K723" i="4"/>
  <c r="J723" i="4"/>
  <c r="H723" i="4"/>
  <c r="I723" i="4" s="1"/>
  <c r="K722" i="4"/>
  <c r="J722" i="4"/>
  <c r="H722" i="4"/>
  <c r="I722" i="4" s="1"/>
  <c r="K721" i="4"/>
  <c r="J721" i="4"/>
  <c r="H721" i="4"/>
  <c r="I721" i="4" s="1"/>
  <c r="K720" i="4"/>
  <c r="J720" i="4"/>
  <c r="H720" i="4"/>
  <c r="I720" i="4" s="1"/>
  <c r="K719" i="4"/>
  <c r="J719" i="4"/>
  <c r="H719" i="4"/>
  <c r="I719" i="4" s="1"/>
  <c r="K718" i="4"/>
  <c r="J718" i="4"/>
  <c r="H718" i="4"/>
  <c r="I718" i="4" s="1"/>
  <c r="K717" i="4"/>
  <c r="J717" i="4"/>
  <c r="H717" i="4"/>
  <c r="I717" i="4" s="1"/>
  <c r="K716" i="4"/>
  <c r="J716" i="4"/>
  <c r="H716" i="4"/>
  <c r="I716" i="4" s="1"/>
  <c r="K715" i="4"/>
  <c r="J715" i="4"/>
  <c r="H715" i="4"/>
  <c r="I715" i="4" s="1"/>
  <c r="K714" i="4"/>
  <c r="J714" i="4"/>
  <c r="H714" i="4"/>
  <c r="I714" i="4" s="1"/>
  <c r="K713" i="4"/>
  <c r="J713" i="4"/>
  <c r="H713" i="4"/>
  <c r="I713" i="4" s="1"/>
  <c r="K712" i="4"/>
  <c r="J712" i="4"/>
  <c r="H712" i="4"/>
  <c r="I712" i="4" s="1"/>
  <c r="K711" i="4"/>
  <c r="J711" i="4"/>
  <c r="H711" i="4"/>
  <c r="I711" i="4" s="1"/>
  <c r="K710" i="4"/>
  <c r="J710" i="4"/>
  <c r="H710" i="4"/>
  <c r="I710" i="4" s="1"/>
  <c r="K709" i="4"/>
  <c r="J709" i="4"/>
  <c r="H709" i="4"/>
  <c r="I709" i="4" s="1"/>
  <c r="K708" i="4"/>
  <c r="J708" i="4"/>
  <c r="H708" i="4"/>
  <c r="I708" i="4" s="1"/>
  <c r="K707" i="4"/>
  <c r="J707" i="4"/>
  <c r="H707" i="4"/>
  <c r="I707" i="4" s="1"/>
  <c r="K706" i="4"/>
  <c r="J706" i="4"/>
  <c r="H706" i="4"/>
  <c r="I706" i="4" s="1"/>
  <c r="K705" i="4"/>
  <c r="J705" i="4"/>
  <c r="H705" i="4"/>
  <c r="I705" i="4" s="1"/>
  <c r="K704" i="4"/>
  <c r="J704" i="4"/>
  <c r="H704" i="4"/>
  <c r="I704" i="4" s="1"/>
  <c r="K703" i="4"/>
  <c r="J703" i="4"/>
  <c r="H703" i="4"/>
  <c r="I703" i="4" s="1"/>
  <c r="K702" i="4"/>
  <c r="J702" i="4"/>
  <c r="H702" i="4"/>
  <c r="I702" i="4" s="1"/>
  <c r="K701" i="4"/>
  <c r="J701" i="4"/>
  <c r="H701" i="4"/>
  <c r="I701" i="4" s="1"/>
  <c r="K700" i="4"/>
  <c r="J700" i="4"/>
  <c r="H700" i="4"/>
  <c r="I700" i="4" s="1"/>
  <c r="K699" i="4"/>
  <c r="J699" i="4"/>
  <c r="H699" i="4"/>
  <c r="I699" i="4" s="1"/>
  <c r="K698" i="4"/>
  <c r="J698" i="4"/>
  <c r="H698" i="4"/>
  <c r="I698" i="4" s="1"/>
  <c r="K697" i="4"/>
  <c r="J697" i="4"/>
  <c r="H697" i="4"/>
  <c r="I697" i="4" s="1"/>
  <c r="K696" i="4"/>
  <c r="J696" i="4"/>
  <c r="H696" i="4"/>
  <c r="I696" i="4" s="1"/>
  <c r="K695" i="4"/>
  <c r="J695" i="4"/>
  <c r="H695" i="4"/>
  <c r="I695" i="4" s="1"/>
  <c r="K694" i="4"/>
  <c r="J694" i="4"/>
  <c r="H694" i="4"/>
  <c r="I694" i="4" s="1"/>
  <c r="K693" i="4"/>
  <c r="J693" i="4"/>
  <c r="H693" i="4"/>
  <c r="I693" i="4" s="1"/>
  <c r="K692" i="4"/>
  <c r="J692" i="4"/>
  <c r="H692" i="4"/>
  <c r="I692" i="4" s="1"/>
  <c r="K691" i="4"/>
  <c r="J691" i="4"/>
  <c r="H691" i="4"/>
  <c r="I691" i="4" s="1"/>
  <c r="K690" i="4"/>
  <c r="J690" i="4"/>
  <c r="H690" i="4"/>
  <c r="I690" i="4" s="1"/>
  <c r="K689" i="4"/>
  <c r="J689" i="4"/>
  <c r="H689" i="4"/>
  <c r="I689" i="4" s="1"/>
  <c r="K688" i="4"/>
  <c r="J688" i="4"/>
  <c r="H688" i="4"/>
  <c r="I688" i="4" s="1"/>
  <c r="K687" i="4"/>
  <c r="J687" i="4"/>
  <c r="H687" i="4"/>
  <c r="I687" i="4" s="1"/>
  <c r="K686" i="4"/>
  <c r="J686" i="4"/>
  <c r="H686" i="4"/>
  <c r="I686" i="4" s="1"/>
  <c r="K685" i="4"/>
  <c r="J685" i="4"/>
  <c r="H685" i="4"/>
  <c r="I685" i="4" s="1"/>
  <c r="K684" i="4"/>
  <c r="J684" i="4"/>
  <c r="H684" i="4"/>
  <c r="I684" i="4" s="1"/>
  <c r="K683" i="4"/>
  <c r="J683" i="4"/>
  <c r="H683" i="4"/>
  <c r="I683" i="4" s="1"/>
  <c r="K682" i="4"/>
  <c r="J682" i="4"/>
  <c r="H682" i="4"/>
  <c r="I682" i="4" s="1"/>
  <c r="K681" i="4"/>
  <c r="J681" i="4"/>
  <c r="H681" i="4"/>
  <c r="I681" i="4" s="1"/>
  <c r="K680" i="4"/>
  <c r="J680" i="4"/>
  <c r="H680" i="4"/>
  <c r="I680" i="4" s="1"/>
  <c r="K679" i="4"/>
  <c r="J679" i="4"/>
  <c r="H679" i="4"/>
  <c r="I679" i="4" s="1"/>
  <c r="K678" i="4"/>
  <c r="J678" i="4"/>
  <c r="H678" i="4"/>
  <c r="I678" i="4" s="1"/>
  <c r="K677" i="4"/>
  <c r="J677" i="4"/>
  <c r="H677" i="4"/>
  <c r="I677" i="4" s="1"/>
  <c r="K676" i="4"/>
  <c r="J676" i="4"/>
  <c r="H676" i="4"/>
  <c r="I676" i="4" s="1"/>
  <c r="K675" i="4"/>
  <c r="J675" i="4"/>
  <c r="H675" i="4"/>
  <c r="I675" i="4" s="1"/>
  <c r="K674" i="4"/>
  <c r="J674" i="4"/>
  <c r="H674" i="4"/>
  <c r="I674" i="4" s="1"/>
  <c r="K673" i="4"/>
  <c r="J673" i="4"/>
  <c r="H673" i="4"/>
  <c r="I673" i="4" s="1"/>
  <c r="K672" i="4"/>
  <c r="J672" i="4"/>
  <c r="H672" i="4"/>
  <c r="I672" i="4" s="1"/>
  <c r="K671" i="4"/>
  <c r="J671" i="4"/>
  <c r="H671" i="4"/>
  <c r="I671" i="4" s="1"/>
  <c r="K670" i="4"/>
  <c r="J670" i="4"/>
  <c r="H670" i="4"/>
  <c r="I670" i="4" s="1"/>
  <c r="K669" i="4"/>
  <c r="J669" i="4"/>
  <c r="H669" i="4"/>
  <c r="I669" i="4" s="1"/>
  <c r="K668" i="4"/>
  <c r="J668" i="4"/>
  <c r="H668" i="4"/>
  <c r="I668" i="4" s="1"/>
  <c r="K667" i="4"/>
  <c r="J667" i="4"/>
  <c r="H667" i="4"/>
  <c r="I667" i="4" s="1"/>
  <c r="K666" i="4"/>
  <c r="J666" i="4"/>
  <c r="H666" i="4"/>
  <c r="I666" i="4" s="1"/>
  <c r="K665" i="4"/>
  <c r="J665" i="4"/>
  <c r="H665" i="4"/>
  <c r="I665" i="4" s="1"/>
  <c r="K664" i="4"/>
  <c r="J664" i="4"/>
  <c r="H664" i="4"/>
  <c r="I664" i="4" s="1"/>
  <c r="K663" i="4"/>
  <c r="J663" i="4"/>
  <c r="H663" i="4"/>
  <c r="I663" i="4" s="1"/>
  <c r="K662" i="4"/>
  <c r="J662" i="4"/>
  <c r="H662" i="4"/>
  <c r="I662" i="4" s="1"/>
  <c r="K661" i="4"/>
  <c r="J661" i="4"/>
  <c r="H661" i="4"/>
  <c r="I661" i="4" s="1"/>
  <c r="K660" i="4"/>
  <c r="J660" i="4"/>
  <c r="H660" i="4"/>
  <c r="I660" i="4" s="1"/>
  <c r="K659" i="4"/>
  <c r="J659" i="4"/>
  <c r="H659" i="4"/>
  <c r="I659" i="4" s="1"/>
  <c r="K658" i="4"/>
  <c r="J658" i="4"/>
  <c r="H658" i="4"/>
  <c r="I658" i="4" s="1"/>
  <c r="K657" i="4"/>
  <c r="J657" i="4"/>
  <c r="H657" i="4"/>
  <c r="I657" i="4" s="1"/>
  <c r="K656" i="4"/>
  <c r="J656" i="4"/>
  <c r="H656" i="4"/>
  <c r="I656" i="4" s="1"/>
  <c r="K655" i="4"/>
  <c r="J655" i="4"/>
  <c r="H655" i="4"/>
  <c r="I655" i="4" s="1"/>
  <c r="K654" i="4"/>
  <c r="J654" i="4"/>
  <c r="H654" i="4"/>
  <c r="I654" i="4" s="1"/>
  <c r="K653" i="4"/>
  <c r="J653" i="4"/>
  <c r="H653" i="4"/>
  <c r="I653" i="4" s="1"/>
  <c r="K652" i="4"/>
  <c r="J652" i="4"/>
  <c r="H652" i="4"/>
  <c r="I652" i="4" s="1"/>
  <c r="K651" i="4"/>
  <c r="J651" i="4"/>
  <c r="H651" i="4"/>
  <c r="I651" i="4" s="1"/>
  <c r="K650" i="4"/>
  <c r="J650" i="4"/>
  <c r="H650" i="4"/>
  <c r="I650" i="4" s="1"/>
  <c r="K649" i="4"/>
  <c r="J649" i="4"/>
  <c r="H649" i="4"/>
  <c r="I649" i="4" s="1"/>
  <c r="K648" i="4"/>
  <c r="J648" i="4"/>
  <c r="H648" i="4"/>
  <c r="I648" i="4" s="1"/>
  <c r="K647" i="4"/>
  <c r="J647" i="4"/>
  <c r="H647" i="4"/>
  <c r="I647" i="4" s="1"/>
  <c r="K646" i="4"/>
  <c r="J646" i="4"/>
  <c r="H646" i="4"/>
  <c r="I646" i="4" s="1"/>
  <c r="K645" i="4"/>
  <c r="J645" i="4"/>
  <c r="H645" i="4"/>
  <c r="I645" i="4" s="1"/>
  <c r="K644" i="4"/>
  <c r="J644" i="4"/>
  <c r="H644" i="4"/>
  <c r="I644" i="4" s="1"/>
  <c r="K643" i="4"/>
  <c r="J643" i="4"/>
  <c r="H643" i="4"/>
  <c r="I643" i="4" s="1"/>
  <c r="K642" i="4"/>
  <c r="J642" i="4"/>
  <c r="H642" i="4"/>
  <c r="I642" i="4" s="1"/>
  <c r="K641" i="4"/>
  <c r="J641" i="4"/>
  <c r="H641" i="4"/>
  <c r="I641" i="4" s="1"/>
  <c r="K640" i="4"/>
  <c r="J640" i="4"/>
  <c r="H640" i="4"/>
  <c r="I640" i="4" s="1"/>
  <c r="K639" i="4"/>
  <c r="J639" i="4"/>
  <c r="H639" i="4"/>
  <c r="I639" i="4" s="1"/>
  <c r="K638" i="4"/>
  <c r="J638" i="4"/>
  <c r="H638" i="4"/>
  <c r="I638" i="4" s="1"/>
  <c r="K637" i="4"/>
  <c r="J637" i="4"/>
  <c r="H637" i="4"/>
  <c r="I637" i="4" s="1"/>
  <c r="K636" i="4"/>
  <c r="J636" i="4"/>
  <c r="H636" i="4"/>
  <c r="I636" i="4" s="1"/>
  <c r="K635" i="4"/>
  <c r="J635" i="4"/>
  <c r="H635" i="4"/>
  <c r="I635" i="4" s="1"/>
  <c r="K634" i="4"/>
  <c r="J634" i="4"/>
  <c r="H634" i="4"/>
  <c r="I634" i="4" s="1"/>
  <c r="K633" i="4"/>
  <c r="J633" i="4"/>
  <c r="H633" i="4"/>
  <c r="I633" i="4" s="1"/>
  <c r="K632" i="4"/>
  <c r="J632" i="4"/>
  <c r="H632" i="4"/>
  <c r="I632" i="4" s="1"/>
  <c r="K631" i="4"/>
  <c r="J631" i="4"/>
  <c r="H631" i="4"/>
  <c r="I631" i="4" s="1"/>
  <c r="K630" i="4"/>
  <c r="J630" i="4"/>
  <c r="H630" i="4"/>
  <c r="I630" i="4" s="1"/>
  <c r="K629" i="4"/>
  <c r="J629" i="4"/>
  <c r="H629" i="4"/>
  <c r="I629" i="4" s="1"/>
  <c r="K628" i="4"/>
  <c r="J628" i="4"/>
  <c r="H628" i="4"/>
  <c r="I628" i="4" s="1"/>
  <c r="K627" i="4"/>
  <c r="J627" i="4"/>
  <c r="H627" i="4"/>
  <c r="I627" i="4" s="1"/>
  <c r="K626" i="4"/>
  <c r="J626" i="4"/>
  <c r="H626" i="4"/>
  <c r="I626" i="4" s="1"/>
  <c r="K625" i="4"/>
  <c r="J625" i="4"/>
  <c r="H625" i="4"/>
  <c r="I625" i="4" s="1"/>
  <c r="K624" i="4"/>
  <c r="J624" i="4"/>
  <c r="H624" i="4"/>
  <c r="I624" i="4" s="1"/>
  <c r="K623" i="4"/>
  <c r="J623" i="4"/>
  <c r="H623" i="4"/>
  <c r="I623" i="4" s="1"/>
  <c r="K622" i="4"/>
  <c r="J622" i="4"/>
  <c r="H622" i="4"/>
  <c r="I622" i="4" s="1"/>
  <c r="K621" i="4"/>
  <c r="J621" i="4"/>
  <c r="H621" i="4"/>
  <c r="I621" i="4" s="1"/>
  <c r="K620" i="4"/>
  <c r="J620" i="4"/>
  <c r="H620" i="4"/>
  <c r="I620" i="4" s="1"/>
  <c r="K619" i="4"/>
  <c r="J619" i="4"/>
  <c r="H619" i="4"/>
  <c r="I619" i="4" s="1"/>
  <c r="K618" i="4"/>
  <c r="J618" i="4"/>
  <c r="H618" i="4"/>
  <c r="I618" i="4" s="1"/>
  <c r="K617" i="4"/>
  <c r="J617" i="4"/>
  <c r="H617" i="4"/>
  <c r="I617" i="4" s="1"/>
  <c r="K616" i="4"/>
  <c r="J616" i="4"/>
  <c r="H616" i="4"/>
  <c r="I616" i="4" s="1"/>
  <c r="K615" i="4"/>
  <c r="J615" i="4"/>
  <c r="H615" i="4"/>
  <c r="I615" i="4" s="1"/>
  <c r="K614" i="4"/>
  <c r="J614" i="4"/>
  <c r="H614" i="4"/>
  <c r="I614" i="4" s="1"/>
  <c r="K613" i="4"/>
  <c r="J613" i="4"/>
  <c r="H613" i="4"/>
  <c r="I613" i="4" s="1"/>
  <c r="K612" i="4"/>
  <c r="J612" i="4"/>
  <c r="H612" i="4"/>
  <c r="I612" i="4" s="1"/>
  <c r="K611" i="4"/>
  <c r="J611" i="4"/>
  <c r="H611" i="4"/>
  <c r="I611" i="4" s="1"/>
  <c r="K610" i="4"/>
  <c r="J610" i="4"/>
  <c r="H610" i="4"/>
  <c r="I610" i="4" s="1"/>
  <c r="K609" i="4"/>
  <c r="J609" i="4"/>
  <c r="H609" i="4"/>
  <c r="I609" i="4" s="1"/>
  <c r="K608" i="4"/>
  <c r="J608" i="4"/>
  <c r="H608" i="4"/>
  <c r="I608" i="4" s="1"/>
  <c r="K607" i="4"/>
  <c r="J607" i="4"/>
  <c r="H607" i="4"/>
  <c r="I607" i="4" s="1"/>
  <c r="K606" i="4"/>
  <c r="J606" i="4"/>
  <c r="H606" i="4"/>
  <c r="I606" i="4" s="1"/>
  <c r="K605" i="4"/>
  <c r="J605" i="4"/>
  <c r="H605" i="4"/>
  <c r="I605" i="4" s="1"/>
  <c r="K604" i="4"/>
  <c r="J604" i="4"/>
  <c r="H604" i="4"/>
  <c r="I604" i="4" s="1"/>
  <c r="K603" i="4"/>
  <c r="J603" i="4"/>
  <c r="H603" i="4"/>
  <c r="I603" i="4" s="1"/>
  <c r="K602" i="4"/>
  <c r="J602" i="4"/>
  <c r="H602" i="4"/>
  <c r="I602" i="4" s="1"/>
  <c r="K601" i="4"/>
  <c r="J601" i="4"/>
  <c r="H601" i="4"/>
  <c r="I601" i="4" s="1"/>
  <c r="K600" i="4"/>
  <c r="J600" i="4"/>
  <c r="H600" i="4"/>
  <c r="I600" i="4" s="1"/>
  <c r="K599" i="4"/>
  <c r="J599" i="4"/>
  <c r="H599" i="4"/>
  <c r="I599" i="4" s="1"/>
  <c r="K598" i="4"/>
  <c r="J598" i="4"/>
  <c r="H598" i="4"/>
  <c r="I598" i="4" s="1"/>
  <c r="K597" i="4"/>
  <c r="J597" i="4"/>
  <c r="H597" i="4"/>
  <c r="I597" i="4" s="1"/>
  <c r="K596" i="4"/>
  <c r="J596" i="4"/>
  <c r="H596" i="4"/>
  <c r="I596" i="4" s="1"/>
  <c r="K595" i="4"/>
  <c r="J595" i="4"/>
  <c r="H595" i="4"/>
  <c r="I595" i="4" s="1"/>
  <c r="K594" i="4"/>
  <c r="J594" i="4"/>
  <c r="H594" i="4"/>
  <c r="I594" i="4" s="1"/>
  <c r="K593" i="4"/>
  <c r="J593" i="4"/>
  <c r="H593" i="4"/>
  <c r="I593" i="4" s="1"/>
  <c r="K592" i="4"/>
  <c r="J592" i="4"/>
  <c r="H592" i="4"/>
  <c r="I592" i="4" s="1"/>
  <c r="K591" i="4"/>
  <c r="J591" i="4"/>
  <c r="H591" i="4"/>
  <c r="I591" i="4" s="1"/>
  <c r="K590" i="4"/>
  <c r="J590" i="4"/>
  <c r="H590" i="4"/>
  <c r="I590" i="4" s="1"/>
  <c r="K589" i="4"/>
  <c r="J589" i="4"/>
  <c r="H589" i="4"/>
  <c r="I589" i="4" s="1"/>
  <c r="K588" i="4"/>
  <c r="J588" i="4"/>
  <c r="H588" i="4"/>
  <c r="I588" i="4" s="1"/>
  <c r="K587" i="4"/>
  <c r="J587" i="4"/>
  <c r="H587" i="4"/>
  <c r="I587" i="4" s="1"/>
  <c r="K586" i="4"/>
  <c r="J586" i="4"/>
  <c r="H586" i="4"/>
  <c r="I586" i="4" s="1"/>
  <c r="K585" i="4"/>
  <c r="J585" i="4"/>
  <c r="H585" i="4"/>
  <c r="I585" i="4" s="1"/>
  <c r="K584" i="4"/>
  <c r="J584" i="4"/>
  <c r="H584" i="4"/>
  <c r="I584" i="4" s="1"/>
  <c r="K583" i="4"/>
  <c r="J583" i="4"/>
  <c r="H583" i="4"/>
  <c r="I583" i="4" s="1"/>
  <c r="K582" i="4"/>
  <c r="J582" i="4"/>
  <c r="H582" i="4"/>
  <c r="I582" i="4" s="1"/>
  <c r="K581" i="4"/>
  <c r="J581" i="4"/>
  <c r="H581" i="4"/>
  <c r="I581" i="4" s="1"/>
  <c r="K580" i="4"/>
  <c r="J580" i="4"/>
  <c r="H580" i="4"/>
  <c r="I580" i="4" s="1"/>
  <c r="K579" i="4"/>
  <c r="J579" i="4"/>
  <c r="H579" i="4"/>
  <c r="I579" i="4" s="1"/>
  <c r="K578" i="4"/>
  <c r="J578" i="4"/>
  <c r="H578" i="4"/>
  <c r="I578" i="4" s="1"/>
  <c r="K577" i="4"/>
  <c r="J577" i="4"/>
  <c r="H577" i="4"/>
  <c r="I577" i="4" s="1"/>
  <c r="K576" i="4"/>
  <c r="J576" i="4"/>
  <c r="H576" i="4"/>
  <c r="I576" i="4" s="1"/>
  <c r="K575" i="4"/>
  <c r="J575" i="4"/>
  <c r="H575" i="4"/>
  <c r="I575" i="4" s="1"/>
  <c r="K574" i="4"/>
  <c r="J574" i="4"/>
  <c r="H574" i="4"/>
  <c r="I574" i="4" s="1"/>
  <c r="K573" i="4"/>
  <c r="J573" i="4"/>
  <c r="H573" i="4"/>
  <c r="I573" i="4" s="1"/>
  <c r="K572" i="4"/>
  <c r="J572" i="4"/>
  <c r="H572" i="4"/>
  <c r="I572" i="4" s="1"/>
  <c r="K571" i="4"/>
  <c r="J571" i="4"/>
  <c r="H571" i="4"/>
  <c r="I571" i="4" s="1"/>
  <c r="K570" i="4"/>
  <c r="J570" i="4"/>
  <c r="H570" i="4"/>
  <c r="I570" i="4" s="1"/>
  <c r="K569" i="4"/>
  <c r="J569" i="4"/>
  <c r="H569" i="4"/>
  <c r="I569" i="4" s="1"/>
  <c r="K568" i="4"/>
  <c r="J568" i="4"/>
  <c r="H568" i="4"/>
  <c r="I568" i="4" s="1"/>
  <c r="K567" i="4"/>
  <c r="J567" i="4"/>
  <c r="H567" i="4"/>
  <c r="I567" i="4" s="1"/>
  <c r="K566" i="4"/>
  <c r="J566" i="4"/>
  <c r="H566" i="4"/>
  <c r="I566" i="4" s="1"/>
  <c r="K565" i="4"/>
  <c r="J565" i="4"/>
  <c r="H565" i="4"/>
  <c r="I565" i="4" s="1"/>
  <c r="K564" i="4"/>
  <c r="J564" i="4"/>
  <c r="H564" i="4"/>
  <c r="I564" i="4" s="1"/>
  <c r="K563" i="4"/>
  <c r="J563" i="4"/>
  <c r="H563" i="4"/>
  <c r="I563" i="4" s="1"/>
  <c r="K562" i="4"/>
  <c r="J562" i="4"/>
  <c r="H562" i="4"/>
  <c r="I562" i="4" s="1"/>
  <c r="K561" i="4"/>
  <c r="J561" i="4"/>
  <c r="H561" i="4"/>
  <c r="I561" i="4" s="1"/>
  <c r="K560" i="4"/>
  <c r="J560" i="4"/>
  <c r="H560" i="4"/>
  <c r="I560" i="4" s="1"/>
  <c r="K559" i="4"/>
  <c r="J559" i="4"/>
  <c r="H559" i="4"/>
  <c r="I559" i="4" s="1"/>
  <c r="K558" i="4"/>
  <c r="J558" i="4"/>
  <c r="H558" i="4"/>
  <c r="I558" i="4" s="1"/>
  <c r="K557" i="4"/>
  <c r="J557" i="4"/>
  <c r="H557" i="4"/>
  <c r="I557" i="4" s="1"/>
  <c r="K556" i="4"/>
  <c r="J556" i="4"/>
  <c r="H556" i="4"/>
  <c r="I556" i="4" s="1"/>
  <c r="K555" i="4"/>
  <c r="J555" i="4"/>
  <c r="H555" i="4"/>
  <c r="I555" i="4" s="1"/>
  <c r="K554" i="4"/>
  <c r="J554" i="4"/>
  <c r="H554" i="4"/>
  <c r="I554" i="4" s="1"/>
  <c r="K553" i="4"/>
  <c r="J553" i="4"/>
  <c r="H553" i="4"/>
  <c r="I553" i="4" s="1"/>
  <c r="K552" i="4"/>
  <c r="J552" i="4"/>
  <c r="H552" i="4"/>
  <c r="I552" i="4" s="1"/>
  <c r="K551" i="4"/>
  <c r="J551" i="4"/>
  <c r="H551" i="4"/>
  <c r="I551" i="4" s="1"/>
  <c r="K550" i="4"/>
  <c r="J550" i="4"/>
  <c r="H550" i="4"/>
  <c r="I550" i="4" s="1"/>
  <c r="K549" i="4"/>
  <c r="J549" i="4"/>
  <c r="H549" i="4"/>
  <c r="I549" i="4" s="1"/>
  <c r="K548" i="4"/>
  <c r="J548" i="4"/>
  <c r="H548" i="4"/>
  <c r="I548" i="4" s="1"/>
  <c r="K547" i="4"/>
  <c r="J547" i="4"/>
  <c r="H547" i="4"/>
  <c r="I547" i="4" s="1"/>
  <c r="K546" i="4"/>
  <c r="J546" i="4"/>
  <c r="H546" i="4"/>
  <c r="I546" i="4" s="1"/>
  <c r="K545" i="4"/>
  <c r="J545" i="4"/>
  <c r="H545" i="4"/>
  <c r="I545" i="4" s="1"/>
  <c r="K544" i="4"/>
  <c r="J544" i="4"/>
  <c r="H544" i="4"/>
  <c r="I544" i="4" s="1"/>
  <c r="K543" i="4"/>
  <c r="J543" i="4"/>
  <c r="H543" i="4"/>
  <c r="I543" i="4" s="1"/>
  <c r="K542" i="4"/>
  <c r="J542" i="4"/>
  <c r="H542" i="4"/>
  <c r="I542" i="4" s="1"/>
  <c r="K541" i="4"/>
  <c r="J541" i="4"/>
  <c r="H541" i="4"/>
  <c r="I541" i="4" s="1"/>
  <c r="K540" i="4"/>
  <c r="J540" i="4"/>
  <c r="H540" i="4"/>
  <c r="I540" i="4" s="1"/>
  <c r="K539" i="4"/>
  <c r="J539" i="4"/>
  <c r="H539" i="4"/>
  <c r="I539" i="4" s="1"/>
  <c r="K538" i="4"/>
  <c r="J538" i="4"/>
  <c r="H538" i="4"/>
  <c r="I538" i="4" s="1"/>
  <c r="K537" i="4"/>
  <c r="J537" i="4"/>
  <c r="H537" i="4"/>
  <c r="I537" i="4" s="1"/>
  <c r="K536" i="4"/>
  <c r="J536" i="4"/>
  <c r="H536" i="4"/>
  <c r="I536" i="4" s="1"/>
  <c r="K535" i="4"/>
  <c r="J535" i="4"/>
  <c r="H535" i="4"/>
  <c r="I535" i="4" s="1"/>
  <c r="K534" i="4"/>
  <c r="J534" i="4"/>
  <c r="H534" i="4"/>
  <c r="I534" i="4" s="1"/>
  <c r="K533" i="4"/>
  <c r="J533" i="4"/>
  <c r="H533" i="4"/>
  <c r="I533" i="4" s="1"/>
  <c r="K532" i="4"/>
  <c r="J532" i="4"/>
  <c r="H532" i="4"/>
  <c r="I532" i="4" s="1"/>
  <c r="K531" i="4"/>
  <c r="J531" i="4"/>
  <c r="H531" i="4"/>
  <c r="I531" i="4" s="1"/>
  <c r="K530" i="4"/>
  <c r="J530" i="4"/>
  <c r="H530" i="4"/>
  <c r="I530" i="4" s="1"/>
  <c r="K529" i="4"/>
  <c r="J529" i="4"/>
  <c r="H529" i="4"/>
  <c r="I529" i="4" s="1"/>
  <c r="K528" i="4"/>
  <c r="J528" i="4"/>
  <c r="H528" i="4"/>
  <c r="I528" i="4" s="1"/>
  <c r="K527" i="4"/>
  <c r="J527" i="4"/>
  <c r="H527" i="4"/>
  <c r="I527" i="4" s="1"/>
  <c r="K526" i="4"/>
  <c r="J526" i="4"/>
  <c r="H526" i="4"/>
  <c r="I526" i="4" s="1"/>
  <c r="K525" i="4"/>
  <c r="J525" i="4"/>
  <c r="H525" i="4"/>
  <c r="I525" i="4" s="1"/>
  <c r="K524" i="4"/>
  <c r="J524" i="4"/>
  <c r="H524" i="4"/>
  <c r="I524" i="4" s="1"/>
  <c r="K523" i="4"/>
  <c r="J523" i="4"/>
  <c r="H523" i="4"/>
  <c r="I523" i="4" s="1"/>
  <c r="K522" i="4"/>
  <c r="J522" i="4"/>
  <c r="H522" i="4"/>
  <c r="I522" i="4" s="1"/>
  <c r="K521" i="4"/>
  <c r="J521" i="4"/>
  <c r="H521" i="4"/>
  <c r="I521" i="4" s="1"/>
  <c r="K520" i="4"/>
  <c r="J520" i="4"/>
  <c r="H520" i="4"/>
  <c r="I520" i="4" s="1"/>
  <c r="K519" i="4"/>
  <c r="J519" i="4"/>
  <c r="H519" i="4"/>
  <c r="I519" i="4" s="1"/>
  <c r="K518" i="4"/>
  <c r="J518" i="4"/>
  <c r="H518" i="4"/>
  <c r="I518" i="4" s="1"/>
  <c r="K517" i="4"/>
  <c r="J517" i="4"/>
  <c r="H517" i="4"/>
  <c r="I517" i="4" s="1"/>
  <c r="K516" i="4"/>
  <c r="J516" i="4"/>
  <c r="H516" i="4"/>
  <c r="I516" i="4" s="1"/>
  <c r="K515" i="4"/>
  <c r="J515" i="4"/>
  <c r="H515" i="4"/>
  <c r="I515" i="4" s="1"/>
  <c r="K514" i="4"/>
  <c r="J514" i="4"/>
  <c r="H514" i="4"/>
  <c r="I514" i="4" s="1"/>
  <c r="K513" i="4"/>
  <c r="J513" i="4"/>
  <c r="H513" i="4"/>
  <c r="I513" i="4" s="1"/>
  <c r="K512" i="4"/>
  <c r="J512" i="4"/>
  <c r="H512" i="4"/>
  <c r="I512" i="4" s="1"/>
  <c r="K511" i="4"/>
  <c r="J511" i="4"/>
  <c r="H511" i="4"/>
  <c r="I511" i="4" s="1"/>
  <c r="K510" i="4"/>
  <c r="J510" i="4"/>
  <c r="H510" i="4"/>
  <c r="I510" i="4" s="1"/>
  <c r="K509" i="4"/>
  <c r="J509" i="4"/>
  <c r="H509" i="4"/>
  <c r="I509" i="4" s="1"/>
  <c r="K508" i="4"/>
  <c r="J508" i="4"/>
  <c r="H508" i="4"/>
  <c r="I508" i="4" s="1"/>
  <c r="K507" i="4"/>
  <c r="J507" i="4"/>
  <c r="H507" i="4"/>
  <c r="I507" i="4" s="1"/>
  <c r="K506" i="4"/>
  <c r="J506" i="4"/>
  <c r="H506" i="4"/>
  <c r="I506" i="4" s="1"/>
  <c r="K505" i="4"/>
  <c r="J505" i="4"/>
  <c r="H505" i="4"/>
  <c r="I505" i="4" s="1"/>
  <c r="K504" i="4"/>
  <c r="J504" i="4"/>
  <c r="H504" i="4"/>
  <c r="I504" i="4" s="1"/>
  <c r="K503" i="4"/>
  <c r="J503" i="4"/>
  <c r="H503" i="4"/>
  <c r="I503" i="4" s="1"/>
  <c r="K502" i="4"/>
  <c r="J502" i="4"/>
  <c r="H502" i="4"/>
  <c r="I502" i="4" s="1"/>
  <c r="K501" i="4"/>
  <c r="J501" i="4"/>
  <c r="H501" i="4"/>
  <c r="I501" i="4" s="1"/>
  <c r="K500" i="4"/>
  <c r="J500" i="4"/>
  <c r="H500" i="4"/>
  <c r="I500" i="4" s="1"/>
  <c r="K499" i="4"/>
  <c r="J499" i="4"/>
  <c r="H499" i="4"/>
  <c r="I499" i="4" s="1"/>
  <c r="K498" i="4"/>
  <c r="J498" i="4"/>
  <c r="H498" i="4"/>
  <c r="I498" i="4" s="1"/>
  <c r="K497" i="4"/>
  <c r="J497" i="4"/>
  <c r="H497" i="4"/>
  <c r="I497" i="4" s="1"/>
  <c r="K496" i="4"/>
  <c r="J496" i="4"/>
  <c r="H496" i="4"/>
  <c r="I496" i="4" s="1"/>
  <c r="K495" i="4"/>
  <c r="J495" i="4"/>
  <c r="H495" i="4"/>
  <c r="I495" i="4" s="1"/>
  <c r="K494" i="4"/>
  <c r="J494" i="4"/>
  <c r="H494" i="4"/>
  <c r="I494" i="4" s="1"/>
  <c r="K493" i="4"/>
  <c r="J493" i="4"/>
  <c r="H493" i="4"/>
  <c r="I493" i="4" s="1"/>
  <c r="K492" i="4"/>
  <c r="J492" i="4"/>
  <c r="H492" i="4"/>
  <c r="I492" i="4" s="1"/>
  <c r="K491" i="4"/>
  <c r="J491" i="4"/>
  <c r="H491" i="4"/>
  <c r="I491" i="4" s="1"/>
  <c r="K490" i="4"/>
  <c r="J490" i="4"/>
  <c r="H490" i="4"/>
  <c r="I490" i="4" s="1"/>
  <c r="K489" i="4"/>
  <c r="J489" i="4"/>
  <c r="H489" i="4"/>
  <c r="I489" i="4" s="1"/>
  <c r="K488" i="4"/>
  <c r="J488" i="4"/>
  <c r="H488" i="4"/>
  <c r="I488" i="4" s="1"/>
  <c r="K487" i="4"/>
  <c r="J487" i="4"/>
  <c r="H487" i="4"/>
  <c r="I487" i="4" s="1"/>
  <c r="K486" i="4"/>
  <c r="J486" i="4"/>
  <c r="H486" i="4"/>
  <c r="I486" i="4" s="1"/>
  <c r="K485" i="4"/>
  <c r="J485" i="4"/>
  <c r="H485" i="4"/>
  <c r="I485" i="4" s="1"/>
  <c r="K484" i="4"/>
  <c r="J484" i="4"/>
  <c r="H484" i="4"/>
  <c r="I484" i="4" s="1"/>
  <c r="K483" i="4"/>
  <c r="J483" i="4"/>
  <c r="H483" i="4"/>
  <c r="I483" i="4" s="1"/>
  <c r="K482" i="4"/>
  <c r="J482" i="4"/>
  <c r="H482" i="4"/>
  <c r="I482" i="4" s="1"/>
  <c r="K481" i="4"/>
  <c r="J481" i="4"/>
  <c r="H481" i="4"/>
  <c r="I481" i="4" s="1"/>
  <c r="K480" i="4"/>
  <c r="J480" i="4"/>
  <c r="H480" i="4"/>
  <c r="I480" i="4" s="1"/>
  <c r="K479" i="4"/>
  <c r="J479" i="4"/>
  <c r="H479" i="4"/>
  <c r="I479" i="4" s="1"/>
  <c r="K478" i="4"/>
  <c r="J478" i="4"/>
  <c r="H478" i="4"/>
  <c r="I478" i="4" s="1"/>
  <c r="K477" i="4"/>
  <c r="J477" i="4"/>
  <c r="H477" i="4"/>
  <c r="I477" i="4" s="1"/>
  <c r="K476" i="4"/>
  <c r="J476" i="4"/>
  <c r="H476" i="4"/>
  <c r="I476" i="4" s="1"/>
  <c r="K475" i="4"/>
  <c r="J475" i="4"/>
  <c r="H475" i="4"/>
  <c r="I475" i="4" s="1"/>
  <c r="K474" i="4"/>
  <c r="J474" i="4"/>
  <c r="H474" i="4"/>
  <c r="I474" i="4" s="1"/>
  <c r="K473" i="4"/>
  <c r="J473" i="4"/>
  <c r="H473" i="4"/>
  <c r="I473" i="4" s="1"/>
  <c r="K472" i="4"/>
  <c r="J472" i="4"/>
  <c r="H472" i="4"/>
  <c r="I472" i="4" s="1"/>
  <c r="K471" i="4"/>
  <c r="J471" i="4"/>
  <c r="H471" i="4"/>
  <c r="I471" i="4" s="1"/>
  <c r="K470" i="4"/>
  <c r="J470" i="4"/>
  <c r="H470" i="4"/>
  <c r="I470" i="4" s="1"/>
  <c r="K469" i="4"/>
  <c r="J469" i="4"/>
  <c r="H469" i="4"/>
  <c r="I469" i="4" s="1"/>
  <c r="K468" i="4"/>
  <c r="J468" i="4"/>
  <c r="H468" i="4"/>
  <c r="I468" i="4" s="1"/>
  <c r="K467" i="4"/>
  <c r="J467" i="4"/>
  <c r="H467" i="4"/>
  <c r="I467" i="4" s="1"/>
  <c r="K466" i="4"/>
  <c r="J466" i="4"/>
  <c r="H466" i="4"/>
  <c r="I466" i="4" s="1"/>
  <c r="K465" i="4"/>
  <c r="J465" i="4"/>
  <c r="H465" i="4"/>
  <c r="I465" i="4" s="1"/>
  <c r="K464" i="4"/>
  <c r="J464" i="4"/>
  <c r="H464" i="4"/>
  <c r="I464" i="4" s="1"/>
  <c r="K463" i="4"/>
  <c r="J463" i="4"/>
  <c r="H463" i="4"/>
  <c r="I463" i="4" s="1"/>
  <c r="K462" i="4"/>
  <c r="J462" i="4"/>
  <c r="H462" i="4"/>
  <c r="I462" i="4" s="1"/>
  <c r="K461" i="4"/>
  <c r="J461" i="4"/>
  <c r="H461" i="4"/>
  <c r="I461" i="4" s="1"/>
  <c r="K460" i="4"/>
  <c r="J460" i="4"/>
  <c r="H460" i="4"/>
  <c r="I460" i="4" s="1"/>
  <c r="K459" i="4"/>
  <c r="J459" i="4"/>
  <c r="H459" i="4"/>
  <c r="I459" i="4" s="1"/>
  <c r="K458" i="4"/>
  <c r="J458" i="4"/>
  <c r="H458" i="4"/>
  <c r="I458" i="4" s="1"/>
  <c r="K457" i="4"/>
  <c r="J457" i="4"/>
  <c r="H457" i="4"/>
  <c r="I457" i="4" s="1"/>
  <c r="K456" i="4"/>
  <c r="J456" i="4"/>
  <c r="H456" i="4"/>
  <c r="I456" i="4" s="1"/>
  <c r="K455" i="4"/>
  <c r="J455" i="4"/>
  <c r="H455" i="4"/>
  <c r="I455" i="4" s="1"/>
  <c r="K454" i="4"/>
  <c r="J454" i="4"/>
  <c r="H454" i="4"/>
  <c r="I454" i="4" s="1"/>
  <c r="K453" i="4"/>
  <c r="J453" i="4"/>
  <c r="H453" i="4"/>
  <c r="I453" i="4" s="1"/>
  <c r="K452" i="4"/>
  <c r="J452" i="4"/>
  <c r="H452" i="4"/>
  <c r="I452" i="4" s="1"/>
  <c r="K451" i="4"/>
  <c r="J451" i="4"/>
  <c r="H451" i="4"/>
  <c r="I451" i="4" s="1"/>
  <c r="K450" i="4"/>
  <c r="J450" i="4"/>
  <c r="H450" i="4"/>
  <c r="I450" i="4" s="1"/>
  <c r="K449" i="4"/>
  <c r="J449" i="4"/>
  <c r="H449" i="4"/>
  <c r="I449" i="4" s="1"/>
  <c r="K448" i="4"/>
  <c r="J448" i="4"/>
  <c r="H448" i="4"/>
  <c r="I448" i="4" s="1"/>
  <c r="K447" i="4"/>
  <c r="J447" i="4"/>
  <c r="H447" i="4"/>
  <c r="I447" i="4" s="1"/>
  <c r="K446" i="4"/>
  <c r="J446" i="4"/>
  <c r="H446" i="4"/>
  <c r="I446" i="4" s="1"/>
  <c r="K445" i="4"/>
  <c r="J445" i="4"/>
  <c r="H445" i="4"/>
  <c r="I445" i="4" s="1"/>
  <c r="K444" i="4"/>
  <c r="J444" i="4"/>
  <c r="H444" i="4"/>
  <c r="I444" i="4" s="1"/>
  <c r="K443" i="4"/>
  <c r="J443" i="4"/>
  <c r="H443" i="4"/>
  <c r="I443" i="4" s="1"/>
  <c r="K442" i="4"/>
  <c r="J442" i="4"/>
  <c r="H442" i="4"/>
  <c r="I442" i="4" s="1"/>
  <c r="K441" i="4"/>
  <c r="J441" i="4"/>
  <c r="H441" i="4"/>
  <c r="I441" i="4" s="1"/>
  <c r="K440" i="4"/>
  <c r="J440" i="4"/>
  <c r="H440" i="4"/>
  <c r="I440" i="4" s="1"/>
  <c r="K439" i="4"/>
  <c r="J439" i="4"/>
  <c r="H439" i="4"/>
  <c r="I439" i="4" s="1"/>
  <c r="K438" i="4"/>
  <c r="J438" i="4"/>
  <c r="H438" i="4"/>
  <c r="I438" i="4" s="1"/>
  <c r="K437" i="4"/>
  <c r="J437" i="4"/>
  <c r="H437" i="4"/>
  <c r="I437" i="4" s="1"/>
  <c r="K436" i="4"/>
  <c r="J436" i="4"/>
  <c r="H436" i="4"/>
  <c r="I436" i="4" s="1"/>
  <c r="K435" i="4"/>
  <c r="J435" i="4"/>
  <c r="H435" i="4"/>
  <c r="I435" i="4" s="1"/>
  <c r="K434" i="4"/>
  <c r="J434" i="4"/>
  <c r="H434" i="4"/>
  <c r="I434" i="4" s="1"/>
  <c r="K433" i="4"/>
  <c r="J433" i="4"/>
  <c r="H433" i="4"/>
  <c r="I433" i="4" s="1"/>
  <c r="K432" i="4"/>
  <c r="J432" i="4"/>
  <c r="H432" i="4"/>
  <c r="I432" i="4" s="1"/>
  <c r="K431" i="4"/>
  <c r="J431" i="4"/>
  <c r="H431" i="4"/>
  <c r="I431" i="4" s="1"/>
  <c r="K430" i="4"/>
  <c r="J430" i="4"/>
  <c r="H430" i="4"/>
  <c r="I430" i="4" s="1"/>
  <c r="K429" i="4"/>
  <c r="J429" i="4"/>
  <c r="H429" i="4"/>
  <c r="I429" i="4" s="1"/>
  <c r="K428" i="4"/>
  <c r="J428" i="4"/>
  <c r="H428" i="4"/>
  <c r="I428" i="4" s="1"/>
  <c r="K427" i="4"/>
  <c r="J427" i="4"/>
  <c r="H427" i="4"/>
  <c r="I427" i="4" s="1"/>
  <c r="K426" i="4"/>
  <c r="J426" i="4"/>
  <c r="H426" i="4"/>
  <c r="I426" i="4" s="1"/>
  <c r="K425" i="4"/>
  <c r="J425" i="4"/>
  <c r="H425" i="4"/>
  <c r="I425" i="4" s="1"/>
  <c r="K424" i="4"/>
  <c r="J424" i="4"/>
  <c r="H424" i="4"/>
  <c r="I424" i="4" s="1"/>
  <c r="K423" i="4"/>
  <c r="J423" i="4"/>
  <c r="H423" i="4"/>
  <c r="I423" i="4" s="1"/>
  <c r="K422" i="4"/>
  <c r="J422" i="4"/>
  <c r="H422" i="4"/>
  <c r="I422" i="4" s="1"/>
  <c r="K421" i="4"/>
  <c r="J421" i="4"/>
  <c r="H421" i="4"/>
  <c r="I421" i="4" s="1"/>
  <c r="K420" i="4"/>
  <c r="J420" i="4"/>
  <c r="H420" i="4"/>
  <c r="I420" i="4" s="1"/>
  <c r="K419" i="4"/>
  <c r="J419" i="4"/>
  <c r="H419" i="4"/>
  <c r="I419" i="4" s="1"/>
  <c r="K418" i="4"/>
  <c r="J418" i="4"/>
  <c r="H418" i="4"/>
  <c r="I418" i="4" s="1"/>
  <c r="K417" i="4"/>
  <c r="J417" i="4"/>
  <c r="H417" i="4"/>
  <c r="I417" i="4" s="1"/>
  <c r="K416" i="4"/>
  <c r="J416" i="4"/>
  <c r="H416" i="4"/>
  <c r="I416" i="4" s="1"/>
  <c r="K415" i="4"/>
  <c r="J415" i="4"/>
  <c r="H415" i="4"/>
  <c r="I415" i="4" s="1"/>
  <c r="K414" i="4"/>
  <c r="J414" i="4"/>
  <c r="H414" i="4"/>
  <c r="I414" i="4" s="1"/>
  <c r="K413" i="4"/>
  <c r="J413" i="4"/>
  <c r="H413" i="4"/>
  <c r="I413" i="4" s="1"/>
  <c r="K412" i="4"/>
  <c r="J412" i="4"/>
  <c r="H412" i="4"/>
  <c r="I412" i="4" s="1"/>
  <c r="K411" i="4"/>
  <c r="J411" i="4"/>
  <c r="H411" i="4"/>
  <c r="I411" i="4" s="1"/>
  <c r="K410" i="4"/>
  <c r="J410" i="4"/>
  <c r="H410" i="4"/>
  <c r="I410" i="4" s="1"/>
  <c r="K409" i="4"/>
  <c r="J409" i="4"/>
  <c r="H409" i="4"/>
  <c r="I409" i="4" s="1"/>
  <c r="K408" i="4"/>
  <c r="J408" i="4"/>
  <c r="H408" i="4"/>
  <c r="I408" i="4" s="1"/>
  <c r="K407" i="4"/>
  <c r="J407" i="4"/>
  <c r="H407" i="4"/>
  <c r="I407" i="4" s="1"/>
  <c r="K406" i="4"/>
  <c r="J406" i="4"/>
  <c r="H406" i="4"/>
  <c r="I406" i="4" s="1"/>
  <c r="K405" i="4"/>
  <c r="J405" i="4"/>
  <c r="H405" i="4"/>
  <c r="I405" i="4" s="1"/>
  <c r="K404" i="4"/>
  <c r="J404" i="4"/>
  <c r="H404" i="4"/>
  <c r="I404" i="4" s="1"/>
  <c r="K403" i="4"/>
  <c r="J403" i="4"/>
  <c r="H403" i="4"/>
  <c r="I403" i="4" s="1"/>
  <c r="K402" i="4"/>
  <c r="J402" i="4"/>
  <c r="H402" i="4"/>
  <c r="I402" i="4" s="1"/>
  <c r="K401" i="4"/>
  <c r="J401" i="4"/>
  <c r="H401" i="4"/>
  <c r="I401" i="4" s="1"/>
  <c r="K400" i="4"/>
  <c r="J400" i="4"/>
  <c r="H400" i="4"/>
  <c r="I400" i="4" s="1"/>
  <c r="K399" i="4"/>
  <c r="J399" i="4"/>
  <c r="H399" i="4"/>
  <c r="I399" i="4" s="1"/>
  <c r="K398" i="4"/>
  <c r="J398" i="4"/>
  <c r="H398" i="4"/>
  <c r="I398" i="4" s="1"/>
  <c r="K397" i="4"/>
  <c r="J397" i="4"/>
  <c r="H397" i="4"/>
  <c r="I397" i="4" s="1"/>
  <c r="K396" i="4"/>
  <c r="J396" i="4"/>
  <c r="H396" i="4"/>
  <c r="I396" i="4" s="1"/>
  <c r="K395" i="4"/>
  <c r="J395" i="4"/>
  <c r="H395" i="4"/>
  <c r="I395" i="4" s="1"/>
  <c r="K394" i="4"/>
  <c r="J394" i="4"/>
  <c r="H394" i="4"/>
  <c r="I394" i="4" s="1"/>
  <c r="K393" i="4"/>
  <c r="J393" i="4"/>
  <c r="H393" i="4"/>
  <c r="I393" i="4" s="1"/>
  <c r="K392" i="4"/>
  <c r="J392" i="4"/>
  <c r="H392" i="4"/>
  <c r="I392" i="4" s="1"/>
  <c r="K391" i="4"/>
  <c r="J391" i="4"/>
  <c r="H391" i="4"/>
  <c r="I391" i="4" s="1"/>
  <c r="K390" i="4"/>
  <c r="J390" i="4"/>
  <c r="H390" i="4"/>
  <c r="I390" i="4" s="1"/>
  <c r="K389" i="4"/>
  <c r="J389" i="4"/>
  <c r="H389" i="4"/>
  <c r="I389" i="4" s="1"/>
  <c r="K388" i="4"/>
  <c r="J388" i="4"/>
  <c r="H388" i="4"/>
  <c r="I388" i="4" s="1"/>
  <c r="K387" i="4"/>
  <c r="J387" i="4"/>
  <c r="H387" i="4"/>
  <c r="I387" i="4" s="1"/>
  <c r="K386" i="4"/>
  <c r="J386" i="4"/>
  <c r="H386" i="4"/>
  <c r="I386" i="4" s="1"/>
  <c r="K385" i="4"/>
  <c r="J385" i="4"/>
  <c r="H385" i="4"/>
  <c r="I385" i="4" s="1"/>
  <c r="K384" i="4"/>
  <c r="J384" i="4"/>
  <c r="H384" i="4"/>
  <c r="I384" i="4" s="1"/>
  <c r="K383" i="4"/>
  <c r="J383" i="4"/>
  <c r="H383" i="4"/>
  <c r="I383" i="4" s="1"/>
  <c r="K382" i="4"/>
  <c r="J382" i="4"/>
  <c r="H382" i="4"/>
  <c r="I382" i="4" s="1"/>
  <c r="K381" i="4"/>
  <c r="J381" i="4"/>
  <c r="H381" i="4"/>
  <c r="I381" i="4" s="1"/>
  <c r="K380" i="4"/>
  <c r="J380" i="4"/>
  <c r="H380" i="4"/>
  <c r="I380" i="4" s="1"/>
  <c r="K379" i="4"/>
  <c r="J379" i="4"/>
  <c r="H379" i="4"/>
  <c r="I379" i="4" s="1"/>
  <c r="K378" i="4"/>
  <c r="J378" i="4"/>
  <c r="H378" i="4"/>
  <c r="I378" i="4" s="1"/>
  <c r="K377" i="4"/>
  <c r="J377" i="4"/>
  <c r="H377" i="4"/>
  <c r="I377" i="4" s="1"/>
  <c r="K376" i="4"/>
  <c r="J376" i="4"/>
  <c r="H376" i="4"/>
  <c r="I376" i="4" s="1"/>
  <c r="K375" i="4"/>
  <c r="J375" i="4"/>
  <c r="H375" i="4"/>
  <c r="I375" i="4" s="1"/>
  <c r="K374" i="4"/>
  <c r="J374" i="4"/>
  <c r="H374" i="4"/>
  <c r="I374" i="4" s="1"/>
  <c r="K373" i="4"/>
  <c r="J373" i="4"/>
  <c r="H373" i="4"/>
  <c r="I373" i="4" s="1"/>
  <c r="K372" i="4"/>
  <c r="J372" i="4"/>
  <c r="H372" i="4"/>
  <c r="I372" i="4" s="1"/>
  <c r="K371" i="4"/>
  <c r="J371" i="4"/>
  <c r="H371" i="4"/>
  <c r="I371" i="4" s="1"/>
  <c r="K370" i="4"/>
  <c r="J370" i="4"/>
  <c r="H370" i="4"/>
  <c r="I370" i="4" s="1"/>
  <c r="K369" i="4"/>
  <c r="J369" i="4"/>
  <c r="H369" i="4"/>
  <c r="I369" i="4" s="1"/>
  <c r="K368" i="4"/>
  <c r="J368" i="4"/>
  <c r="H368" i="4"/>
  <c r="I368" i="4" s="1"/>
  <c r="K367" i="4"/>
  <c r="J367" i="4"/>
  <c r="H367" i="4"/>
  <c r="I367" i="4" s="1"/>
  <c r="K366" i="4"/>
  <c r="J366" i="4"/>
  <c r="H366" i="4"/>
  <c r="I366" i="4" s="1"/>
  <c r="K365" i="4"/>
  <c r="J365" i="4"/>
  <c r="H365" i="4"/>
  <c r="I365" i="4" s="1"/>
  <c r="K364" i="4"/>
  <c r="J364" i="4"/>
  <c r="H364" i="4"/>
  <c r="I364" i="4" s="1"/>
  <c r="K363" i="4"/>
  <c r="J363" i="4"/>
  <c r="H363" i="4"/>
  <c r="I363" i="4" s="1"/>
  <c r="K362" i="4"/>
  <c r="J362" i="4"/>
  <c r="H362" i="4"/>
  <c r="I362" i="4" s="1"/>
  <c r="K361" i="4"/>
  <c r="J361" i="4"/>
  <c r="H361" i="4"/>
  <c r="I361" i="4" s="1"/>
  <c r="K360" i="4"/>
  <c r="J360" i="4"/>
  <c r="H360" i="4"/>
  <c r="I360" i="4" s="1"/>
  <c r="K359" i="4"/>
  <c r="J359" i="4"/>
  <c r="H359" i="4"/>
  <c r="I359" i="4" s="1"/>
  <c r="K358" i="4"/>
  <c r="J358" i="4"/>
  <c r="H358" i="4"/>
  <c r="I358" i="4" s="1"/>
  <c r="K357" i="4"/>
  <c r="J357" i="4"/>
  <c r="H357" i="4"/>
  <c r="I357" i="4" s="1"/>
  <c r="K356" i="4"/>
  <c r="J356" i="4"/>
  <c r="H356" i="4"/>
  <c r="I356" i="4" s="1"/>
  <c r="K355" i="4"/>
  <c r="J355" i="4"/>
  <c r="H355" i="4"/>
  <c r="I355" i="4" s="1"/>
  <c r="K354" i="4"/>
  <c r="J354" i="4"/>
  <c r="H354" i="4"/>
  <c r="I354" i="4" s="1"/>
  <c r="K353" i="4"/>
  <c r="J353" i="4"/>
  <c r="H353" i="4"/>
  <c r="I353" i="4" s="1"/>
  <c r="K352" i="4"/>
  <c r="J352" i="4"/>
  <c r="H352" i="4"/>
  <c r="I352" i="4" s="1"/>
  <c r="K351" i="4"/>
  <c r="J351" i="4"/>
  <c r="H351" i="4"/>
  <c r="I351" i="4" s="1"/>
  <c r="K350" i="4"/>
  <c r="J350" i="4"/>
  <c r="H350" i="4"/>
  <c r="I350" i="4" s="1"/>
  <c r="K349" i="4"/>
  <c r="J349" i="4"/>
  <c r="H349" i="4"/>
  <c r="I349" i="4" s="1"/>
  <c r="K348" i="4"/>
  <c r="J348" i="4"/>
  <c r="H348" i="4"/>
  <c r="I348" i="4" s="1"/>
  <c r="K347" i="4"/>
  <c r="J347" i="4"/>
  <c r="H347" i="4"/>
  <c r="I347" i="4" s="1"/>
  <c r="K346" i="4"/>
  <c r="J346" i="4"/>
  <c r="H346" i="4"/>
  <c r="I346" i="4" s="1"/>
  <c r="K345" i="4"/>
  <c r="J345" i="4"/>
  <c r="H345" i="4"/>
  <c r="I345" i="4" s="1"/>
  <c r="K344" i="4"/>
  <c r="J344" i="4"/>
  <c r="H344" i="4"/>
  <c r="I344" i="4" s="1"/>
  <c r="K343" i="4"/>
  <c r="J343" i="4"/>
  <c r="H343" i="4"/>
  <c r="I343" i="4" s="1"/>
  <c r="K342" i="4"/>
  <c r="J342" i="4"/>
  <c r="H342" i="4"/>
  <c r="I342" i="4" s="1"/>
  <c r="K341" i="4"/>
  <c r="J341" i="4"/>
  <c r="H341" i="4"/>
  <c r="I341" i="4" s="1"/>
  <c r="K340" i="4"/>
  <c r="J340" i="4"/>
  <c r="H340" i="4"/>
  <c r="I340" i="4" s="1"/>
  <c r="K339" i="4"/>
  <c r="J339" i="4"/>
  <c r="H339" i="4"/>
  <c r="I339" i="4" s="1"/>
  <c r="K338" i="4"/>
  <c r="J338" i="4"/>
  <c r="H338" i="4"/>
  <c r="I338" i="4" s="1"/>
  <c r="K337" i="4"/>
  <c r="J337" i="4"/>
  <c r="H337" i="4"/>
  <c r="I337" i="4" s="1"/>
  <c r="K336" i="4"/>
  <c r="J336" i="4"/>
  <c r="H336" i="4"/>
  <c r="I336" i="4" s="1"/>
  <c r="K335" i="4"/>
  <c r="J335" i="4"/>
  <c r="H335" i="4"/>
  <c r="I335" i="4" s="1"/>
  <c r="K334" i="4"/>
  <c r="J334" i="4"/>
  <c r="H334" i="4"/>
  <c r="I334" i="4" s="1"/>
  <c r="K333" i="4"/>
  <c r="J333" i="4"/>
  <c r="H333" i="4"/>
  <c r="I333" i="4" s="1"/>
  <c r="K332" i="4"/>
  <c r="J332" i="4"/>
  <c r="H332" i="4"/>
  <c r="I332" i="4" s="1"/>
  <c r="K331" i="4"/>
  <c r="J331" i="4"/>
  <c r="H331" i="4"/>
  <c r="I331" i="4" s="1"/>
  <c r="K330" i="4"/>
  <c r="J330" i="4"/>
  <c r="H330" i="4"/>
  <c r="I330" i="4" s="1"/>
  <c r="K329" i="4"/>
  <c r="J329" i="4"/>
  <c r="H329" i="4"/>
  <c r="I329" i="4" s="1"/>
  <c r="K328" i="4"/>
  <c r="J328" i="4"/>
  <c r="H328" i="4"/>
  <c r="I328" i="4" s="1"/>
  <c r="K327" i="4"/>
  <c r="J327" i="4"/>
  <c r="H327" i="4"/>
  <c r="I327" i="4" s="1"/>
  <c r="K326" i="4"/>
  <c r="J326" i="4"/>
  <c r="H326" i="4"/>
  <c r="I326" i="4" s="1"/>
  <c r="K325" i="4"/>
  <c r="J325" i="4"/>
  <c r="H325" i="4"/>
  <c r="I325" i="4" s="1"/>
  <c r="K324" i="4"/>
  <c r="J324" i="4"/>
  <c r="H324" i="4"/>
  <c r="I324" i="4" s="1"/>
  <c r="K323" i="4"/>
  <c r="J323" i="4"/>
  <c r="H323" i="4"/>
  <c r="I323" i="4" s="1"/>
  <c r="K322" i="4"/>
  <c r="J322" i="4"/>
  <c r="H322" i="4"/>
  <c r="I322" i="4" s="1"/>
  <c r="K321" i="4"/>
  <c r="J321" i="4"/>
  <c r="H321" i="4"/>
  <c r="I321" i="4" s="1"/>
  <c r="K320" i="4"/>
  <c r="J320" i="4"/>
  <c r="H320" i="4"/>
  <c r="I320" i="4" s="1"/>
  <c r="K319" i="4"/>
  <c r="J319" i="4"/>
  <c r="H319" i="4"/>
  <c r="I319" i="4" s="1"/>
  <c r="K318" i="4"/>
  <c r="J318" i="4"/>
  <c r="H318" i="4"/>
  <c r="I318" i="4" s="1"/>
  <c r="K317" i="4"/>
  <c r="J317" i="4"/>
  <c r="H317" i="4"/>
  <c r="I317" i="4" s="1"/>
  <c r="K316" i="4"/>
  <c r="J316" i="4"/>
  <c r="H316" i="4"/>
  <c r="I316" i="4" s="1"/>
  <c r="K315" i="4"/>
  <c r="J315" i="4"/>
  <c r="H315" i="4"/>
  <c r="I315" i="4" s="1"/>
  <c r="K314" i="4"/>
  <c r="J314" i="4"/>
  <c r="H314" i="4"/>
  <c r="I314" i="4" s="1"/>
  <c r="K313" i="4"/>
  <c r="J313" i="4"/>
  <c r="H313" i="4"/>
  <c r="I313" i="4" s="1"/>
  <c r="K312" i="4"/>
  <c r="J312" i="4"/>
  <c r="H312" i="4"/>
  <c r="I312" i="4" s="1"/>
  <c r="K311" i="4"/>
  <c r="J311" i="4"/>
  <c r="H311" i="4"/>
  <c r="I311" i="4" s="1"/>
  <c r="K310" i="4"/>
  <c r="J310" i="4"/>
  <c r="H310" i="4"/>
  <c r="I310" i="4" s="1"/>
  <c r="K309" i="4"/>
  <c r="J309" i="4"/>
  <c r="H309" i="4"/>
  <c r="I309" i="4" s="1"/>
  <c r="K308" i="4"/>
  <c r="J308" i="4"/>
  <c r="H308" i="4"/>
  <c r="I308" i="4" s="1"/>
  <c r="K307" i="4"/>
  <c r="J307" i="4"/>
  <c r="H307" i="4"/>
  <c r="I307" i="4" s="1"/>
  <c r="K306" i="4"/>
  <c r="J306" i="4"/>
  <c r="H306" i="4"/>
  <c r="I306" i="4" s="1"/>
  <c r="K305" i="4"/>
  <c r="J305" i="4"/>
  <c r="H305" i="4"/>
  <c r="I305" i="4" s="1"/>
  <c r="K304" i="4"/>
  <c r="J304" i="4"/>
  <c r="H304" i="4"/>
  <c r="I304" i="4" s="1"/>
  <c r="K303" i="4"/>
  <c r="J303" i="4"/>
  <c r="H303" i="4"/>
  <c r="I303" i="4" s="1"/>
  <c r="K302" i="4"/>
  <c r="J302" i="4"/>
  <c r="H302" i="4"/>
  <c r="I302" i="4" s="1"/>
  <c r="K301" i="4"/>
  <c r="J301" i="4"/>
  <c r="H301" i="4"/>
  <c r="I301" i="4" s="1"/>
  <c r="K300" i="4"/>
  <c r="J300" i="4"/>
  <c r="H300" i="4"/>
  <c r="I300" i="4" s="1"/>
  <c r="K299" i="4"/>
  <c r="J299" i="4"/>
  <c r="H299" i="4"/>
  <c r="I299" i="4" s="1"/>
  <c r="K298" i="4"/>
  <c r="J298" i="4"/>
  <c r="H298" i="4"/>
  <c r="I298" i="4" s="1"/>
  <c r="K297" i="4"/>
  <c r="J297" i="4"/>
  <c r="H297" i="4"/>
  <c r="I297" i="4" s="1"/>
  <c r="K296" i="4"/>
  <c r="J296" i="4"/>
  <c r="H296" i="4"/>
  <c r="I296" i="4" s="1"/>
  <c r="K295" i="4"/>
  <c r="J295" i="4"/>
  <c r="H295" i="4"/>
  <c r="I295" i="4" s="1"/>
  <c r="K294" i="4"/>
  <c r="J294" i="4"/>
  <c r="H294" i="4"/>
  <c r="I294" i="4" s="1"/>
  <c r="K293" i="4"/>
  <c r="J293" i="4"/>
  <c r="H293" i="4"/>
  <c r="I293" i="4" s="1"/>
  <c r="K292" i="4"/>
  <c r="J292" i="4"/>
  <c r="H292" i="4"/>
  <c r="I292" i="4" s="1"/>
  <c r="K291" i="4"/>
  <c r="J291" i="4"/>
  <c r="H291" i="4"/>
  <c r="I291" i="4" s="1"/>
  <c r="K290" i="4"/>
  <c r="J290" i="4"/>
  <c r="H290" i="4"/>
  <c r="I290" i="4" s="1"/>
  <c r="K289" i="4"/>
  <c r="J289" i="4"/>
  <c r="H289" i="4"/>
  <c r="I289" i="4" s="1"/>
  <c r="K288" i="4"/>
  <c r="J288" i="4"/>
  <c r="H288" i="4"/>
  <c r="I288" i="4" s="1"/>
  <c r="K287" i="4"/>
  <c r="J287" i="4"/>
  <c r="H287" i="4"/>
  <c r="I287" i="4" s="1"/>
  <c r="K286" i="4"/>
  <c r="J286" i="4"/>
  <c r="H286" i="4"/>
  <c r="I286" i="4" s="1"/>
  <c r="K285" i="4"/>
  <c r="J285" i="4"/>
  <c r="H285" i="4"/>
  <c r="I285" i="4" s="1"/>
  <c r="K284" i="4"/>
  <c r="J284" i="4"/>
  <c r="H284" i="4"/>
  <c r="I284" i="4" s="1"/>
  <c r="K283" i="4"/>
  <c r="J283" i="4"/>
  <c r="H283" i="4"/>
  <c r="I283" i="4" s="1"/>
  <c r="K282" i="4"/>
  <c r="J282" i="4"/>
  <c r="H282" i="4"/>
  <c r="I282" i="4" s="1"/>
  <c r="K281" i="4"/>
  <c r="J281" i="4"/>
  <c r="H281" i="4"/>
  <c r="I281" i="4" s="1"/>
  <c r="K280" i="4"/>
  <c r="J280" i="4"/>
  <c r="H280" i="4"/>
  <c r="I280" i="4" s="1"/>
  <c r="K279" i="4"/>
  <c r="J279" i="4"/>
  <c r="H279" i="4"/>
  <c r="I279" i="4" s="1"/>
  <c r="K278" i="4"/>
  <c r="J278" i="4"/>
  <c r="H278" i="4"/>
  <c r="I278" i="4" s="1"/>
  <c r="K277" i="4"/>
  <c r="J277" i="4"/>
  <c r="H277" i="4"/>
  <c r="I277" i="4" s="1"/>
  <c r="K276" i="4"/>
  <c r="J276" i="4"/>
  <c r="H276" i="4"/>
  <c r="I276" i="4" s="1"/>
  <c r="K275" i="4"/>
  <c r="J275" i="4"/>
  <c r="H275" i="4"/>
  <c r="I275" i="4" s="1"/>
  <c r="K274" i="4"/>
  <c r="J274" i="4"/>
  <c r="H274" i="4"/>
  <c r="I274" i="4" s="1"/>
  <c r="K273" i="4"/>
  <c r="J273" i="4"/>
  <c r="H273" i="4"/>
  <c r="I273" i="4" s="1"/>
  <c r="K272" i="4"/>
  <c r="J272" i="4"/>
  <c r="H272" i="4"/>
  <c r="I272" i="4" s="1"/>
  <c r="K271" i="4"/>
  <c r="J271" i="4"/>
  <c r="H271" i="4"/>
  <c r="I271" i="4" s="1"/>
  <c r="K270" i="4"/>
  <c r="J270" i="4"/>
  <c r="H270" i="4"/>
  <c r="I270" i="4" s="1"/>
  <c r="K269" i="4"/>
  <c r="J269" i="4"/>
  <c r="H269" i="4"/>
  <c r="I269" i="4" s="1"/>
  <c r="K268" i="4"/>
  <c r="J268" i="4"/>
  <c r="H268" i="4"/>
  <c r="I268" i="4" s="1"/>
  <c r="K267" i="4"/>
  <c r="J267" i="4"/>
  <c r="H267" i="4"/>
  <c r="I267" i="4" s="1"/>
  <c r="K266" i="4"/>
  <c r="J266" i="4"/>
  <c r="H266" i="4"/>
  <c r="I266" i="4" s="1"/>
  <c r="K265" i="4"/>
  <c r="J265" i="4"/>
  <c r="H265" i="4"/>
  <c r="I265" i="4" s="1"/>
  <c r="K264" i="4"/>
  <c r="J264" i="4"/>
  <c r="H264" i="4"/>
  <c r="I264" i="4" s="1"/>
  <c r="K263" i="4"/>
  <c r="J263" i="4"/>
  <c r="H263" i="4"/>
  <c r="I263" i="4" s="1"/>
  <c r="K262" i="4"/>
  <c r="J262" i="4"/>
  <c r="H262" i="4"/>
  <c r="I262" i="4" s="1"/>
  <c r="K261" i="4"/>
  <c r="J261" i="4"/>
  <c r="H261" i="4"/>
  <c r="I261" i="4" s="1"/>
  <c r="K260" i="4"/>
  <c r="J260" i="4"/>
  <c r="H260" i="4"/>
  <c r="I260" i="4" s="1"/>
  <c r="K259" i="4"/>
  <c r="J259" i="4"/>
  <c r="H259" i="4"/>
  <c r="I259" i="4" s="1"/>
  <c r="K258" i="4"/>
  <c r="J258" i="4"/>
  <c r="H258" i="4"/>
  <c r="I258" i="4" s="1"/>
  <c r="K257" i="4"/>
  <c r="J257" i="4"/>
  <c r="H257" i="4"/>
  <c r="I257" i="4" s="1"/>
  <c r="K256" i="4"/>
  <c r="J256" i="4"/>
  <c r="H256" i="4"/>
  <c r="I256" i="4" s="1"/>
  <c r="K255" i="4"/>
  <c r="J255" i="4"/>
  <c r="H255" i="4"/>
  <c r="I255" i="4" s="1"/>
  <c r="K254" i="4"/>
  <c r="J254" i="4"/>
  <c r="H254" i="4"/>
  <c r="I254" i="4" s="1"/>
  <c r="K253" i="4"/>
  <c r="J253" i="4"/>
  <c r="H253" i="4"/>
  <c r="I253" i="4" s="1"/>
  <c r="K252" i="4"/>
  <c r="J252" i="4"/>
  <c r="H252" i="4"/>
  <c r="I252" i="4" s="1"/>
  <c r="K251" i="4"/>
  <c r="J251" i="4"/>
  <c r="H251" i="4"/>
  <c r="I251" i="4" s="1"/>
  <c r="K250" i="4"/>
  <c r="J250" i="4"/>
  <c r="H250" i="4"/>
  <c r="I250" i="4" s="1"/>
  <c r="K249" i="4"/>
  <c r="J249" i="4"/>
  <c r="H249" i="4"/>
  <c r="I249" i="4" s="1"/>
  <c r="K248" i="4"/>
  <c r="J248" i="4"/>
  <c r="H248" i="4"/>
  <c r="I248" i="4" s="1"/>
  <c r="K247" i="4"/>
  <c r="J247" i="4"/>
  <c r="H247" i="4"/>
  <c r="I247" i="4" s="1"/>
  <c r="K246" i="4"/>
  <c r="J246" i="4"/>
  <c r="H246" i="4"/>
  <c r="I246" i="4" s="1"/>
  <c r="K245" i="4"/>
  <c r="J245" i="4"/>
  <c r="H245" i="4"/>
  <c r="I245" i="4" s="1"/>
  <c r="K244" i="4"/>
  <c r="J244" i="4"/>
  <c r="H244" i="4"/>
  <c r="I244" i="4" s="1"/>
  <c r="K243" i="4"/>
  <c r="J243" i="4"/>
  <c r="H243" i="4"/>
  <c r="I243" i="4" s="1"/>
  <c r="K242" i="4"/>
  <c r="J242" i="4"/>
  <c r="H242" i="4"/>
  <c r="I242" i="4" s="1"/>
  <c r="K241" i="4"/>
  <c r="J241" i="4"/>
  <c r="H241" i="4"/>
  <c r="I241" i="4" s="1"/>
  <c r="K240" i="4"/>
  <c r="J240" i="4"/>
  <c r="H240" i="4"/>
  <c r="I240" i="4" s="1"/>
  <c r="K239" i="4"/>
  <c r="J239" i="4"/>
  <c r="H239" i="4"/>
  <c r="I239" i="4" s="1"/>
  <c r="K238" i="4"/>
  <c r="J238" i="4"/>
  <c r="H238" i="4"/>
  <c r="I238" i="4" s="1"/>
  <c r="K237" i="4"/>
  <c r="J237" i="4"/>
  <c r="H237" i="4"/>
  <c r="I237" i="4" s="1"/>
  <c r="K236" i="4"/>
  <c r="J236" i="4"/>
  <c r="H236" i="4"/>
  <c r="I236" i="4" s="1"/>
  <c r="K235" i="4"/>
  <c r="J235" i="4"/>
  <c r="H235" i="4"/>
  <c r="I235" i="4" s="1"/>
  <c r="K234" i="4"/>
  <c r="J234" i="4"/>
  <c r="H234" i="4"/>
  <c r="I234" i="4" s="1"/>
  <c r="K233" i="4"/>
  <c r="J233" i="4"/>
  <c r="H233" i="4"/>
  <c r="I233" i="4" s="1"/>
  <c r="K232" i="4"/>
  <c r="J232" i="4"/>
  <c r="H232" i="4"/>
  <c r="I232" i="4" s="1"/>
  <c r="K231" i="4"/>
  <c r="J231" i="4"/>
  <c r="H231" i="4"/>
  <c r="I231" i="4" s="1"/>
  <c r="K230" i="4"/>
  <c r="J230" i="4"/>
  <c r="H230" i="4"/>
  <c r="I230" i="4" s="1"/>
  <c r="K229" i="4"/>
  <c r="J229" i="4"/>
  <c r="H229" i="4"/>
  <c r="I229" i="4" s="1"/>
  <c r="K228" i="4"/>
  <c r="J228" i="4"/>
  <c r="H228" i="4"/>
  <c r="I228" i="4" s="1"/>
  <c r="K227" i="4"/>
  <c r="J227" i="4"/>
  <c r="H227" i="4"/>
  <c r="I227" i="4" s="1"/>
  <c r="K226" i="4"/>
  <c r="J226" i="4"/>
  <c r="H226" i="4"/>
  <c r="I226" i="4" s="1"/>
  <c r="K225" i="4"/>
  <c r="J225" i="4"/>
  <c r="H225" i="4"/>
  <c r="I225" i="4" s="1"/>
  <c r="K224" i="4"/>
  <c r="J224" i="4"/>
  <c r="H224" i="4"/>
  <c r="I224" i="4" s="1"/>
  <c r="K223" i="4"/>
  <c r="J223" i="4"/>
  <c r="H223" i="4"/>
  <c r="I223" i="4" s="1"/>
  <c r="K222" i="4"/>
  <c r="J222" i="4"/>
  <c r="H222" i="4"/>
  <c r="I222" i="4" s="1"/>
  <c r="K221" i="4"/>
  <c r="J221" i="4"/>
  <c r="H221" i="4"/>
  <c r="I221" i="4" s="1"/>
  <c r="K220" i="4"/>
  <c r="J220" i="4"/>
  <c r="H220" i="4"/>
  <c r="I220" i="4" s="1"/>
  <c r="K219" i="4"/>
  <c r="J219" i="4"/>
  <c r="H219" i="4"/>
  <c r="I219" i="4" s="1"/>
  <c r="K218" i="4"/>
  <c r="J218" i="4"/>
  <c r="H218" i="4"/>
  <c r="I218" i="4" s="1"/>
  <c r="K217" i="4"/>
  <c r="J217" i="4"/>
  <c r="H217" i="4"/>
  <c r="I217" i="4" s="1"/>
  <c r="K216" i="4"/>
  <c r="J216" i="4"/>
  <c r="H216" i="4"/>
  <c r="I216" i="4" s="1"/>
  <c r="K215" i="4"/>
  <c r="J215" i="4"/>
  <c r="H215" i="4"/>
  <c r="I215" i="4" s="1"/>
  <c r="K214" i="4"/>
  <c r="J214" i="4"/>
  <c r="H214" i="4"/>
  <c r="I214" i="4" s="1"/>
  <c r="K213" i="4"/>
  <c r="J213" i="4"/>
  <c r="H213" i="4"/>
  <c r="I213" i="4" s="1"/>
  <c r="K212" i="4"/>
  <c r="J212" i="4"/>
  <c r="H212" i="4"/>
  <c r="I212" i="4" s="1"/>
  <c r="K211" i="4"/>
  <c r="J211" i="4"/>
  <c r="H211" i="4"/>
  <c r="I211" i="4" s="1"/>
  <c r="K210" i="4"/>
  <c r="J210" i="4"/>
  <c r="H210" i="4"/>
  <c r="I210" i="4" s="1"/>
  <c r="K209" i="4"/>
  <c r="J209" i="4"/>
  <c r="H209" i="4"/>
  <c r="I209" i="4" s="1"/>
  <c r="K208" i="4"/>
  <c r="J208" i="4"/>
  <c r="H208" i="4"/>
  <c r="I208" i="4" s="1"/>
  <c r="K207" i="4"/>
  <c r="J207" i="4"/>
  <c r="H207" i="4"/>
  <c r="I207" i="4" s="1"/>
  <c r="K206" i="4"/>
  <c r="J206" i="4"/>
  <c r="H206" i="4"/>
  <c r="I206" i="4" s="1"/>
  <c r="K205" i="4"/>
  <c r="J205" i="4"/>
  <c r="H205" i="4"/>
  <c r="I205" i="4" s="1"/>
  <c r="K204" i="4"/>
  <c r="J204" i="4"/>
  <c r="H204" i="4"/>
  <c r="I204" i="4" s="1"/>
  <c r="K203" i="4"/>
  <c r="J203" i="4"/>
  <c r="H203" i="4"/>
  <c r="I203" i="4" s="1"/>
  <c r="K202" i="4"/>
  <c r="J202" i="4"/>
  <c r="H202" i="4"/>
  <c r="I202" i="4" s="1"/>
  <c r="K201" i="4"/>
  <c r="J201" i="4"/>
  <c r="H201" i="4"/>
  <c r="I201" i="4" s="1"/>
  <c r="K200" i="4"/>
  <c r="J200" i="4"/>
  <c r="H200" i="4"/>
  <c r="I200" i="4" s="1"/>
  <c r="K199" i="4"/>
  <c r="J199" i="4"/>
  <c r="H199" i="4"/>
  <c r="I199" i="4" s="1"/>
  <c r="K198" i="4"/>
  <c r="J198" i="4"/>
  <c r="H198" i="4"/>
  <c r="I198" i="4" s="1"/>
  <c r="K197" i="4"/>
  <c r="J197" i="4"/>
  <c r="H197" i="4"/>
  <c r="I197" i="4" s="1"/>
  <c r="K196" i="4"/>
  <c r="J196" i="4"/>
  <c r="H196" i="4"/>
  <c r="I196" i="4" s="1"/>
  <c r="K195" i="4"/>
  <c r="J195" i="4"/>
  <c r="H195" i="4"/>
  <c r="I195" i="4" s="1"/>
  <c r="K194" i="4"/>
  <c r="J194" i="4"/>
  <c r="H194" i="4"/>
  <c r="I194" i="4" s="1"/>
  <c r="K193" i="4"/>
  <c r="J193" i="4"/>
  <c r="H193" i="4"/>
  <c r="I193" i="4" s="1"/>
  <c r="K192" i="4"/>
  <c r="J192" i="4"/>
  <c r="H192" i="4"/>
  <c r="I192" i="4" s="1"/>
  <c r="K191" i="4"/>
  <c r="J191" i="4"/>
  <c r="H191" i="4"/>
  <c r="I191" i="4" s="1"/>
  <c r="K190" i="4"/>
  <c r="J190" i="4"/>
  <c r="H190" i="4"/>
  <c r="I190" i="4" s="1"/>
  <c r="K189" i="4"/>
  <c r="J189" i="4"/>
  <c r="H189" i="4"/>
  <c r="I189" i="4" s="1"/>
  <c r="K188" i="4"/>
  <c r="J188" i="4"/>
  <c r="H188" i="4"/>
  <c r="I188" i="4" s="1"/>
  <c r="K187" i="4"/>
  <c r="J187" i="4"/>
  <c r="H187" i="4"/>
  <c r="I187" i="4" s="1"/>
  <c r="K186" i="4"/>
  <c r="J186" i="4"/>
  <c r="H186" i="4"/>
  <c r="I186" i="4" s="1"/>
  <c r="K185" i="4"/>
  <c r="J185" i="4"/>
  <c r="H185" i="4"/>
  <c r="I185" i="4" s="1"/>
  <c r="K184" i="4"/>
  <c r="J184" i="4"/>
  <c r="H184" i="4"/>
  <c r="I184" i="4" s="1"/>
  <c r="K183" i="4"/>
  <c r="J183" i="4"/>
  <c r="H183" i="4"/>
  <c r="I183" i="4" s="1"/>
  <c r="K182" i="4"/>
  <c r="J182" i="4"/>
  <c r="H182" i="4"/>
  <c r="I182" i="4" s="1"/>
  <c r="K181" i="4"/>
  <c r="J181" i="4"/>
  <c r="H181" i="4"/>
  <c r="I181" i="4" s="1"/>
  <c r="K180" i="4"/>
  <c r="J180" i="4"/>
  <c r="H180" i="4"/>
  <c r="I180" i="4" s="1"/>
  <c r="K179" i="4"/>
  <c r="J179" i="4"/>
  <c r="H179" i="4"/>
  <c r="I179" i="4" s="1"/>
  <c r="K178" i="4"/>
  <c r="J178" i="4"/>
  <c r="H178" i="4"/>
  <c r="I178" i="4" s="1"/>
  <c r="K177" i="4"/>
  <c r="J177" i="4"/>
  <c r="H177" i="4"/>
  <c r="I177" i="4" s="1"/>
  <c r="K176" i="4"/>
  <c r="J176" i="4"/>
  <c r="H176" i="4"/>
  <c r="I176" i="4" s="1"/>
  <c r="K175" i="4"/>
  <c r="J175" i="4"/>
  <c r="H175" i="4"/>
  <c r="I175" i="4" s="1"/>
  <c r="K174" i="4"/>
  <c r="J174" i="4"/>
  <c r="H174" i="4"/>
  <c r="I174" i="4" s="1"/>
  <c r="K173" i="4"/>
  <c r="J173" i="4"/>
  <c r="H173" i="4"/>
  <c r="I173" i="4" s="1"/>
  <c r="K172" i="4"/>
  <c r="J172" i="4"/>
  <c r="H172" i="4"/>
  <c r="I172" i="4" s="1"/>
  <c r="K171" i="4"/>
  <c r="J171" i="4"/>
  <c r="H171" i="4"/>
  <c r="I171" i="4" s="1"/>
  <c r="K170" i="4"/>
  <c r="J170" i="4"/>
  <c r="H170" i="4"/>
  <c r="I170" i="4" s="1"/>
  <c r="K169" i="4"/>
  <c r="J169" i="4"/>
  <c r="H169" i="4"/>
  <c r="I169" i="4" s="1"/>
  <c r="K168" i="4"/>
  <c r="J168" i="4"/>
  <c r="H168" i="4"/>
  <c r="I168" i="4" s="1"/>
  <c r="K167" i="4"/>
  <c r="J167" i="4"/>
  <c r="H167" i="4"/>
  <c r="I167" i="4" s="1"/>
  <c r="K166" i="4"/>
  <c r="J166" i="4"/>
  <c r="H166" i="4"/>
  <c r="I166" i="4" s="1"/>
  <c r="K165" i="4"/>
  <c r="J165" i="4"/>
  <c r="H165" i="4"/>
  <c r="I165" i="4" s="1"/>
  <c r="K164" i="4"/>
  <c r="J164" i="4"/>
  <c r="H164" i="4"/>
  <c r="I164" i="4" s="1"/>
  <c r="K163" i="4"/>
  <c r="J163" i="4"/>
  <c r="H163" i="4"/>
  <c r="I163" i="4" s="1"/>
  <c r="K162" i="4"/>
  <c r="J162" i="4"/>
  <c r="H162" i="4"/>
  <c r="I162" i="4" s="1"/>
  <c r="K161" i="4"/>
  <c r="J161" i="4"/>
  <c r="H161" i="4"/>
  <c r="I161" i="4" s="1"/>
  <c r="K160" i="4"/>
  <c r="J160" i="4"/>
  <c r="H160" i="4"/>
  <c r="I160" i="4" s="1"/>
  <c r="K159" i="4"/>
  <c r="J159" i="4"/>
  <c r="H159" i="4"/>
  <c r="I159" i="4" s="1"/>
  <c r="K158" i="4"/>
  <c r="J158" i="4"/>
  <c r="H158" i="4"/>
  <c r="I158" i="4" s="1"/>
  <c r="K157" i="4"/>
  <c r="J157" i="4"/>
  <c r="H157" i="4"/>
  <c r="I157" i="4" s="1"/>
  <c r="K156" i="4"/>
  <c r="J156" i="4"/>
  <c r="H156" i="4"/>
  <c r="I156" i="4" s="1"/>
  <c r="K155" i="4"/>
  <c r="J155" i="4"/>
  <c r="H155" i="4"/>
  <c r="I155" i="4" s="1"/>
  <c r="K154" i="4"/>
  <c r="J154" i="4"/>
  <c r="H154" i="4"/>
  <c r="I154" i="4" s="1"/>
  <c r="K153" i="4"/>
  <c r="J153" i="4"/>
  <c r="H153" i="4"/>
  <c r="I153" i="4" s="1"/>
  <c r="K152" i="4"/>
  <c r="J152" i="4"/>
  <c r="H152" i="4"/>
  <c r="I152" i="4" s="1"/>
  <c r="K151" i="4"/>
  <c r="J151" i="4"/>
  <c r="H151" i="4"/>
  <c r="I151" i="4" s="1"/>
  <c r="K150" i="4"/>
  <c r="J150" i="4"/>
  <c r="H150" i="4"/>
  <c r="I150" i="4" s="1"/>
  <c r="K149" i="4"/>
  <c r="J149" i="4"/>
  <c r="H149" i="4"/>
  <c r="I149" i="4" s="1"/>
  <c r="K148" i="4"/>
  <c r="J148" i="4"/>
  <c r="H148" i="4"/>
  <c r="I148" i="4" s="1"/>
  <c r="K147" i="4"/>
  <c r="J147" i="4"/>
  <c r="H147" i="4"/>
  <c r="I147" i="4" s="1"/>
  <c r="K146" i="4"/>
  <c r="J146" i="4"/>
  <c r="H146" i="4"/>
  <c r="I146" i="4" s="1"/>
  <c r="K145" i="4"/>
  <c r="J145" i="4"/>
  <c r="H145" i="4"/>
  <c r="I145" i="4" s="1"/>
  <c r="K144" i="4"/>
  <c r="J144" i="4"/>
  <c r="H144" i="4"/>
  <c r="I144" i="4" s="1"/>
  <c r="K143" i="4"/>
  <c r="J143" i="4"/>
  <c r="H143" i="4"/>
  <c r="I143" i="4" s="1"/>
  <c r="K142" i="4"/>
  <c r="J142" i="4"/>
  <c r="H142" i="4"/>
  <c r="I142" i="4" s="1"/>
  <c r="K141" i="4"/>
  <c r="J141" i="4"/>
  <c r="H141" i="4"/>
  <c r="I141" i="4" s="1"/>
  <c r="K140" i="4"/>
  <c r="J140" i="4"/>
  <c r="H140" i="4"/>
  <c r="I140" i="4" s="1"/>
  <c r="K139" i="4"/>
  <c r="J139" i="4"/>
  <c r="H139" i="4"/>
  <c r="I139" i="4" s="1"/>
  <c r="K138" i="4"/>
  <c r="J138" i="4"/>
  <c r="H138" i="4"/>
  <c r="I138" i="4" s="1"/>
  <c r="K137" i="4"/>
  <c r="J137" i="4"/>
  <c r="H137" i="4"/>
  <c r="I137" i="4" s="1"/>
  <c r="K136" i="4"/>
  <c r="J136" i="4"/>
  <c r="H136" i="4"/>
  <c r="I136" i="4" s="1"/>
  <c r="K135" i="4"/>
  <c r="J135" i="4"/>
  <c r="H135" i="4"/>
  <c r="I135" i="4" s="1"/>
  <c r="K134" i="4"/>
  <c r="J134" i="4"/>
  <c r="H134" i="4"/>
  <c r="I134" i="4" s="1"/>
  <c r="K133" i="4"/>
  <c r="J133" i="4"/>
  <c r="H133" i="4"/>
  <c r="I133" i="4" s="1"/>
  <c r="K132" i="4"/>
  <c r="J132" i="4"/>
  <c r="H132" i="4"/>
  <c r="I132" i="4" s="1"/>
  <c r="K131" i="4"/>
  <c r="J131" i="4"/>
  <c r="H131" i="4"/>
  <c r="I131" i="4" s="1"/>
  <c r="K130" i="4"/>
  <c r="J130" i="4"/>
  <c r="H130" i="4"/>
  <c r="I130" i="4" s="1"/>
  <c r="K129" i="4"/>
  <c r="J129" i="4"/>
  <c r="H129" i="4"/>
  <c r="I129" i="4" s="1"/>
  <c r="K128" i="4"/>
  <c r="J128" i="4"/>
  <c r="H128" i="4"/>
  <c r="I128" i="4" s="1"/>
  <c r="K127" i="4"/>
  <c r="J127" i="4"/>
  <c r="H127" i="4"/>
  <c r="I127" i="4" s="1"/>
  <c r="K126" i="4"/>
  <c r="J126" i="4"/>
  <c r="H126" i="4"/>
  <c r="I126" i="4" s="1"/>
  <c r="K125" i="4"/>
  <c r="J125" i="4"/>
  <c r="H125" i="4"/>
  <c r="I125" i="4" s="1"/>
  <c r="K124" i="4"/>
  <c r="J124" i="4"/>
  <c r="H124" i="4"/>
  <c r="I124" i="4" s="1"/>
  <c r="K123" i="4"/>
  <c r="J123" i="4"/>
  <c r="H123" i="4"/>
  <c r="I123" i="4" s="1"/>
  <c r="K122" i="4"/>
  <c r="J122" i="4"/>
  <c r="H122" i="4"/>
  <c r="I122" i="4" s="1"/>
  <c r="K121" i="4"/>
  <c r="J121" i="4"/>
  <c r="H121" i="4"/>
  <c r="I121" i="4" s="1"/>
  <c r="K120" i="4"/>
  <c r="J120" i="4"/>
  <c r="H120" i="4"/>
  <c r="I120" i="4" s="1"/>
  <c r="K119" i="4"/>
  <c r="J119" i="4"/>
  <c r="H119" i="4"/>
  <c r="I119" i="4" s="1"/>
  <c r="K118" i="4"/>
  <c r="J118" i="4"/>
  <c r="H118" i="4"/>
  <c r="I118" i="4" s="1"/>
  <c r="K117" i="4"/>
  <c r="J117" i="4"/>
  <c r="H117" i="4"/>
  <c r="I117" i="4" s="1"/>
  <c r="K116" i="4"/>
  <c r="J116" i="4"/>
  <c r="H116" i="4"/>
  <c r="I116" i="4" s="1"/>
  <c r="K115" i="4"/>
  <c r="J115" i="4"/>
  <c r="H115" i="4"/>
  <c r="I115" i="4" s="1"/>
  <c r="K114" i="4"/>
  <c r="J114" i="4"/>
  <c r="H114" i="4"/>
  <c r="I114" i="4" s="1"/>
  <c r="K113" i="4"/>
  <c r="J113" i="4"/>
  <c r="H113" i="4"/>
  <c r="I113" i="4" s="1"/>
  <c r="K112" i="4"/>
  <c r="J112" i="4"/>
  <c r="H112" i="4"/>
  <c r="I112" i="4" s="1"/>
  <c r="K111" i="4"/>
  <c r="J111" i="4"/>
  <c r="H111" i="4"/>
  <c r="I111" i="4" s="1"/>
  <c r="K110" i="4"/>
  <c r="J110" i="4"/>
  <c r="H110" i="4"/>
  <c r="I110" i="4" s="1"/>
  <c r="K109" i="4"/>
  <c r="J109" i="4"/>
  <c r="H109" i="4"/>
  <c r="I109" i="4" s="1"/>
  <c r="K108" i="4"/>
  <c r="J108" i="4"/>
  <c r="H108" i="4"/>
  <c r="I108" i="4" s="1"/>
  <c r="K107" i="4"/>
  <c r="J107" i="4"/>
  <c r="H107" i="4"/>
  <c r="I107" i="4" s="1"/>
  <c r="K106" i="4"/>
  <c r="J106" i="4"/>
  <c r="H106" i="4"/>
  <c r="I106" i="4" s="1"/>
  <c r="K105" i="4"/>
  <c r="J105" i="4"/>
  <c r="H105" i="4"/>
  <c r="I105" i="4" s="1"/>
  <c r="K104" i="4"/>
  <c r="J104" i="4"/>
  <c r="H104" i="4"/>
  <c r="I104" i="4" s="1"/>
  <c r="K103" i="4"/>
  <c r="J103" i="4"/>
  <c r="H103" i="4"/>
  <c r="I103" i="4" s="1"/>
  <c r="K102" i="4"/>
  <c r="J102" i="4"/>
  <c r="H102" i="4"/>
  <c r="I102" i="4" s="1"/>
  <c r="K101" i="4"/>
  <c r="J101" i="4"/>
  <c r="H101" i="4"/>
  <c r="I101" i="4" s="1"/>
  <c r="K100" i="4"/>
  <c r="J100" i="4"/>
  <c r="H100" i="4"/>
  <c r="I100" i="4" s="1"/>
  <c r="K99" i="4"/>
  <c r="J99" i="4"/>
  <c r="H99" i="4"/>
  <c r="I99" i="4" s="1"/>
  <c r="K98" i="4"/>
  <c r="J98" i="4"/>
  <c r="H98" i="4"/>
  <c r="I98" i="4" s="1"/>
  <c r="K97" i="4"/>
  <c r="J97" i="4"/>
  <c r="H97" i="4"/>
  <c r="I97" i="4" s="1"/>
  <c r="K96" i="4"/>
  <c r="J96" i="4"/>
  <c r="H96" i="4"/>
  <c r="I96" i="4" s="1"/>
  <c r="K95" i="4"/>
  <c r="J95" i="4"/>
  <c r="H95" i="4"/>
  <c r="I95" i="4" s="1"/>
  <c r="K94" i="4"/>
  <c r="J94" i="4"/>
  <c r="H94" i="4"/>
  <c r="I94" i="4" s="1"/>
  <c r="K93" i="4"/>
  <c r="J93" i="4"/>
  <c r="H93" i="4"/>
  <c r="I93" i="4" s="1"/>
  <c r="K92" i="4"/>
  <c r="J92" i="4"/>
  <c r="H92" i="4"/>
  <c r="I92" i="4" s="1"/>
  <c r="K91" i="4"/>
  <c r="J91" i="4"/>
  <c r="H91" i="4"/>
  <c r="I91" i="4" s="1"/>
  <c r="K90" i="4"/>
  <c r="J90" i="4"/>
  <c r="H90" i="4"/>
  <c r="I90" i="4" s="1"/>
  <c r="K89" i="4"/>
  <c r="J89" i="4"/>
  <c r="H89" i="4"/>
  <c r="I89" i="4" s="1"/>
  <c r="K88" i="4"/>
  <c r="J88" i="4"/>
  <c r="H88" i="4"/>
  <c r="I88" i="4" s="1"/>
  <c r="K87" i="4"/>
  <c r="J87" i="4"/>
  <c r="H87" i="4"/>
  <c r="I87" i="4" s="1"/>
  <c r="K86" i="4"/>
  <c r="J86" i="4"/>
  <c r="H86" i="4"/>
  <c r="I86" i="4" s="1"/>
  <c r="K85" i="4"/>
  <c r="J85" i="4"/>
  <c r="H85" i="4"/>
  <c r="I85" i="4" s="1"/>
  <c r="K84" i="4"/>
  <c r="J84" i="4"/>
  <c r="H84" i="4"/>
  <c r="I84" i="4" s="1"/>
  <c r="K83" i="4"/>
  <c r="J83" i="4"/>
  <c r="H83" i="4"/>
  <c r="I83" i="4" s="1"/>
  <c r="K82" i="4"/>
  <c r="J82" i="4"/>
  <c r="H82" i="4"/>
  <c r="I82" i="4" s="1"/>
  <c r="K81" i="4"/>
  <c r="J81" i="4"/>
  <c r="H81" i="4"/>
  <c r="I81" i="4" s="1"/>
  <c r="K80" i="4"/>
  <c r="J80" i="4"/>
  <c r="H80" i="4"/>
  <c r="I80" i="4" s="1"/>
  <c r="K79" i="4"/>
  <c r="J79" i="4"/>
  <c r="H79" i="4"/>
  <c r="I79" i="4" s="1"/>
  <c r="K78" i="4"/>
  <c r="J78" i="4"/>
  <c r="H78" i="4"/>
  <c r="I78" i="4" s="1"/>
  <c r="K77" i="4"/>
  <c r="J77" i="4"/>
  <c r="H77" i="4"/>
  <c r="I77" i="4" s="1"/>
  <c r="K76" i="4"/>
  <c r="J76" i="4"/>
  <c r="H76" i="4"/>
  <c r="I76" i="4" s="1"/>
  <c r="K75" i="4"/>
  <c r="J75" i="4"/>
  <c r="H75" i="4"/>
  <c r="I75" i="4" s="1"/>
  <c r="K74" i="4"/>
  <c r="J74" i="4"/>
  <c r="H74" i="4"/>
  <c r="I74" i="4" s="1"/>
  <c r="K73" i="4"/>
  <c r="J73" i="4"/>
  <c r="H73" i="4"/>
  <c r="I73" i="4" s="1"/>
  <c r="K72" i="4"/>
  <c r="J72" i="4"/>
  <c r="H72" i="4"/>
  <c r="I72" i="4" s="1"/>
  <c r="K71" i="4"/>
  <c r="J71" i="4"/>
  <c r="H71" i="4"/>
  <c r="I71" i="4" s="1"/>
  <c r="K70" i="4"/>
  <c r="J70" i="4"/>
  <c r="H70" i="4"/>
  <c r="I70" i="4" s="1"/>
  <c r="K69" i="4"/>
  <c r="J69" i="4"/>
  <c r="H69" i="4"/>
  <c r="I69" i="4" s="1"/>
  <c r="K68" i="4"/>
  <c r="J68" i="4"/>
  <c r="H68" i="4"/>
  <c r="I68" i="4" s="1"/>
  <c r="K67" i="4"/>
  <c r="J67" i="4"/>
  <c r="H67" i="4"/>
  <c r="I67" i="4" s="1"/>
  <c r="K66" i="4"/>
  <c r="J66" i="4"/>
  <c r="H66" i="4"/>
  <c r="I66" i="4" s="1"/>
  <c r="K65" i="4"/>
  <c r="J65" i="4"/>
  <c r="H65" i="4"/>
  <c r="I65" i="4" s="1"/>
  <c r="K64" i="4"/>
  <c r="J64" i="4"/>
  <c r="H64" i="4"/>
  <c r="I64" i="4" s="1"/>
  <c r="K63" i="4"/>
  <c r="J63" i="4"/>
  <c r="H63" i="4"/>
  <c r="I63" i="4" s="1"/>
  <c r="K62" i="4"/>
  <c r="J62" i="4"/>
  <c r="H62" i="4"/>
  <c r="I62" i="4" s="1"/>
  <c r="K61" i="4"/>
  <c r="J61" i="4"/>
  <c r="H61" i="4"/>
  <c r="I61" i="4" s="1"/>
  <c r="K60" i="4"/>
  <c r="J60" i="4"/>
  <c r="H60" i="4"/>
  <c r="I60" i="4" s="1"/>
  <c r="K59" i="4"/>
  <c r="J59" i="4"/>
  <c r="H59" i="4"/>
  <c r="I59" i="4" s="1"/>
  <c r="K58" i="4"/>
  <c r="J58" i="4"/>
  <c r="H58" i="4"/>
  <c r="I58" i="4" s="1"/>
  <c r="K57" i="4"/>
  <c r="J57" i="4"/>
  <c r="H57" i="4"/>
  <c r="I57" i="4" s="1"/>
  <c r="K56" i="4"/>
  <c r="J56" i="4"/>
  <c r="H56" i="4"/>
  <c r="I56" i="4" s="1"/>
  <c r="K55" i="4"/>
  <c r="J55" i="4"/>
  <c r="H55" i="4"/>
  <c r="I55" i="4" s="1"/>
  <c r="K54" i="4"/>
  <c r="J54" i="4"/>
  <c r="H54" i="4"/>
  <c r="I54" i="4" s="1"/>
  <c r="K53" i="4"/>
  <c r="J53" i="4"/>
  <c r="H53" i="4"/>
  <c r="I53" i="4" s="1"/>
  <c r="K52" i="4"/>
  <c r="J52" i="4"/>
  <c r="H52" i="4"/>
  <c r="I52" i="4" s="1"/>
  <c r="K51" i="4"/>
  <c r="J51" i="4"/>
  <c r="H51" i="4"/>
  <c r="I51" i="4" s="1"/>
  <c r="K50" i="4"/>
  <c r="J50" i="4"/>
  <c r="H50" i="4"/>
  <c r="I50" i="4" s="1"/>
  <c r="K49" i="4"/>
  <c r="J49" i="4"/>
  <c r="H49" i="4"/>
  <c r="I49" i="4" s="1"/>
  <c r="K48" i="4"/>
  <c r="J48" i="4"/>
  <c r="H48" i="4"/>
  <c r="I48" i="4" s="1"/>
  <c r="K47" i="4"/>
  <c r="J47" i="4"/>
  <c r="H47" i="4"/>
  <c r="I47" i="4" s="1"/>
  <c r="K46" i="4"/>
  <c r="J46" i="4"/>
  <c r="H46" i="4"/>
  <c r="I46" i="4" s="1"/>
  <c r="K45" i="4"/>
  <c r="J45" i="4"/>
  <c r="H45" i="4"/>
  <c r="I45" i="4" s="1"/>
  <c r="K44" i="4"/>
  <c r="J44" i="4"/>
  <c r="H44" i="4"/>
  <c r="I44" i="4" s="1"/>
  <c r="K43" i="4"/>
  <c r="J43" i="4"/>
  <c r="H43" i="4"/>
  <c r="I43" i="4" s="1"/>
  <c r="K42" i="4"/>
  <c r="J42" i="4"/>
  <c r="H42" i="4"/>
  <c r="I42" i="4" s="1"/>
  <c r="K41" i="4"/>
  <c r="J41" i="4"/>
  <c r="H41" i="4"/>
  <c r="I41" i="4" s="1"/>
  <c r="K40" i="4"/>
  <c r="J40" i="4"/>
  <c r="H40" i="4"/>
  <c r="I40" i="4" s="1"/>
  <c r="K39" i="4"/>
  <c r="J39" i="4"/>
  <c r="H39" i="4"/>
  <c r="I39" i="4" s="1"/>
  <c r="K38" i="4"/>
  <c r="J38" i="4"/>
  <c r="H38" i="4"/>
  <c r="I38" i="4" s="1"/>
  <c r="K37" i="4"/>
  <c r="J37" i="4"/>
  <c r="H37" i="4"/>
  <c r="I37" i="4" s="1"/>
  <c r="K36" i="4"/>
  <c r="J36" i="4"/>
  <c r="H36" i="4"/>
  <c r="I36" i="4" s="1"/>
  <c r="K35" i="4"/>
  <c r="J35" i="4"/>
  <c r="H35" i="4"/>
  <c r="I35" i="4" s="1"/>
  <c r="K34" i="4"/>
  <c r="J34" i="4"/>
  <c r="H34" i="4"/>
  <c r="I34" i="4" s="1"/>
  <c r="K33" i="4"/>
  <c r="J33" i="4"/>
  <c r="H33" i="4"/>
  <c r="I33" i="4" s="1"/>
  <c r="K32" i="4"/>
  <c r="J32" i="4"/>
  <c r="H32" i="4"/>
  <c r="I32" i="4" s="1"/>
  <c r="K31" i="4"/>
  <c r="J31" i="4"/>
  <c r="H31" i="4"/>
  <c r="I31" i="4" s="1"/>
  <c r="K30" i="4"/>
  <c r="J30" i="4"/>
  <c r="H30" i="4"/>
  <c r="I30" i="4" s="1"/>
  <c r="K29" i="4"/>
  <c r="J29" i="4"/>
  <c r="H29" i="4"/>
  <c r="I29" i="4" s="1"/>
  <c r="K28" i="4"/>
  <c r="J28" i="4"/>
  <c r="H28" i="4"/>
  <c r="I28" i="4" s="1"/>
  <c r="K27" i="4"/>
  <c r="J27" i="4"/>
  <c r="H27" i="4"/>
  <c r="I27" i="4" s="1"/>
  <c r="K26" i="4"/>
  <c r="J26" i="4"/>
  <c r="H26" i="4"/>
  <c r="I26" i="4" s="1"/>
  <c r="K25" i="4"/>
  <c r="J25" i="4"/>
  <c r="H25" i="4"/>
  <c r="I25" i="4" s="1"/>
  <c r="K24" i="4"/>
  <c r="J24" i="4"/>
  <c r="H24" i="4"/>
  <c r="I24" i="4" s="1"/>
  <c r="K23" i="4"/>
  <c r="J23" i="4"/>
  <c r="H23" i="4"/>
  <c r="I23" i="4" s="1"/>
  <c r="K22" i="4"/>
  <c r="J22" i="4"/>
  <c r="H22" i="4"/>
  <c r="I22" i="4" s="1"/>
  <c r="K21" i="4"/>
  <c r="J21" i="4"/>
  <c r="H21" i="4"/>
  <c r="I21" i="4" s="1"/>
  <c r="K20" i="4"/>
  <c r="J20" i="4"/>
  <c r="H20" i="4"/>
  <c r="I20" i="4" s="1"/>
  <c r="K19" i="4"/>
  <c r="J19" i="4"/>
  <c r="H19" i="4"/>
  <c r="I19" i="4" s="1"/>
  <c r="K18" i="4"/>
  <c r="J18" i="4"/>
  <c r="H18" i="4"/>
  <c r="I18" i="4" s="1"/>
  <c r="K17" i="4"/>
  <c r="J17" i="4"/>
  <c r="H17" i="4"/>
  <c r="I17" i="4" s="1"/>
  <c r="K16" i="4"/>
  <c r="J16" i="4"/>
  <c r="H16" i="4"/>
  <c r="I16" i="4" s="1"/>
  <c r="K15" i="4"/>
  <c r="J15" i="4"/>
  <c r="H15" i="4"/>
  <c r="I15" i="4" s="1"/>
  <c r="K14" i="4"/>
  <c r="J14" i="4"/>
  <c r="H14" i="4"/>
  <c r="I14" i="4" s="1"/>
  <c r="K13" i="4"/>
  <c r="J13" i="4"/>
  <c r="H13" i="4"/>
  <c r="I13" i="4" s="1"/>
  <c r="K12" i="4"/>
  <c r="J12" i="4"/>
  <c r="H12" i="4"/>
  <c r="I12" i="4" s="1"/>
  <c r="K11" i="4"/>
  <c r="J11" i="4"/>
  <c r="H11" i="4"/>
  <c r="I11" i="4" s="1"/>
  <c r="K10" i="4"/>
  <c r="J10" i="4"/>
  <c r="H10" i="4"/>
  <c r="I10" i="4" s="1"/>
  <c r="F5080" i="4" l="1"/>
  <c r="G5080" i="4"/>
  <c r="G5872" i="4" s="1"/>
</calcChain>
</file>

<file path=xl/sharedStrings.xml><?xml version="1.0" encoding="utf-8"?>
<sst xmlns="http://schemas.openxmlformats.org/spreadsheetml/2006/main" count="19416" uniqueCount="793">
  <si>
    <t>備品番号</t>
  </si>
  <si>
    <t>規格品質</t>
  </si>
  <si>
    <t>単位</t>
  </si>
  <si>
    <t>備考</t>
  </si>
  <si>
    <t>個　　　</t>
  </si>
  <si>
    <t>標本・模型　　　　　　　　　　　　　　　</t>
  </si>
  <si>
    <t>金シャチポリエステル樹脂金箔仕上　輸送箱付　　　　　　　　　</t>
  </si>
  <si>
    <t>応接セット　　　　　　　　　　　　　　　</t>
  </si>
  <si>
    <t>コクヨ製　長いす１　アームいす２スツール２　テーブル１　　　</t>
  </si>
  <si>
    <t>組　　　</t>
  </si>
  <si>
    <t>美術工芸品　　　　　　　　　　　　　　　</t>
  </si>
  <si>
    <t>北川民次　２５号「バラと裸婦」　　　　　　　　　　　　　　　</t>
  </si>
  <si>
    <t>鷲見香治　ブロンズ像「まどろみ」　　　　　　　　　　　　　　</t>
  </si>
  <si>
    <t>仕切り　　　　　　　　　　　　　　　　　</t>
  </si>
  <si>
    <t>ローパーテーション　　　　　　　　　　　　　　　　　　　　　</t>
  </si>
  <si>
    <t>どん帳　　　　　　　　　　　　　　　　　</t>
  </si>
  <si>
    <t>鯱　　　　　　　　　　　　　　　　　　　　　　　　　　　　　</t>
  </si>
  <si>
    <t>枚　　　</t>
  </si>
  <si>
    <t>堀川花盛　　　　　　　　　　　　　　　　　　　　　　　　　　</t>
  </si>
  <si>
    <t>投影装置　　　　　　　　　　　　　　　　</t>
  </si>
  <si>
    <t>ハイビジョンビデオプロジェクター　　　　　　　　　　　　　　</t>
  </si>
  <si>
    <t>台　　　</t>
  </si>
  <si>
    <t>大太鼓　　　　　　　　　　　　　　　　　</t>
  </si>
  <si>
    <t>２尺、和太鼓　　　　　　　　　　　　　　　　　　　　　　　　</t>
  </si>
  <si>
    <t>ピアノ　　　　　　　　　　　　　　　　　</t>
  </si>
  <si>
    <t>グランドピアノ　　　　　　　　　　　　　　　　　　　　　　　</t>
  </si>
  <si>
    <t>東海道五十三次　絞絵、有松鳴海絞５５枚　　　　　　　　　　　</t>
  </si>
  <si>
    <t>彫刻「砂漠の泉」　　　　　　　　　　　　　　　　　　　　　　</t>
  </si>
  <si>
    <t>長卓子　　　　　　　　　　　　　　　　　</t>
  </si>
  <si>
    <t>８０００×２２００×７００　　　　　　　　　　　　　　　　　</t>
  </si>
  <si>
    <t>長いす　　　　　　　　　　　　　　　　　</t>
  </si>
  <si>
    <t>ロイヤルファニチャー　１３２０×７２０×７４０×４３０　　　</t>
  </si>
  <si>
    <t>ロイヤルファニチャー　１９２０×７２０×７４０×４３０　　　</t>
  </si>
  <si>
    <t>陳列だな　　　　　　　　　　　　　　　　</t>
  </si>
  <si>
    <t>３６００×６００×７００　　　　　　　　　　　　　　　　　　</t>
  </si>
  <si>
    <t>舞台照明器具　　　　　　　　　　　　　　</t>
  </si>
  <si>
    <t>ピンスポットライト１ｋｗ松下１００３ＳＲ－１０００ｗ　　　　</t>
  </si>
  <si>
    <t>ピンスポットライト２ｋｗ松下２００７ＳＲ－２００ｗ　　　　　</t>
  </si>
  <si>
    <t>映写装置　　　　　　　　　　　　　　　　</t>
  </si>
  <si>
    <t>エルモ　１２００ＸＥＮＯＮ　　　　　　　　　　　　　　　　　</t>
  </si>
  <si>
    <t>「古代への追憶」　　　　　　　　　　　　　　　　　　　　　　</t>
  </si>
  <si>
    <t>ケン・ドーン「ポストカード・フロム・シドニーⅠ」キャンバス、</t>
  </si>
  <si>
    <t>テレビ装置　　　　　　　　　　　　　　　</t>
  </si>
  <si>
    <t>液晶プロジェクター　サンヨーＬＰ－ＸＧ３０００Ｌ　　　　　　</t>
  </si>
  <si>
    <t>コンピューター　　　　　　　　　　　　　</t>
  </si>
  <si>
    <t>予約管理システム、サーバー　クライアント、プリンター、ケーブ</t>
  </si>
  <si>
    <t>映写機　　　　　　　　　　　　　　　　　</t>
  </si>
  <si>
    <t>液晶プロジェクターサンヨーＬＰ－ＸＰ３１（Ｓ）　　　　　　　</t>
  </si>
  <si>
    <t>液晶プロジェクター　Ａ　ＧＴ６０００　　　　　　　　　　　　</t>
  </si>
  <si>
    <t>三洋電機　ＬＰ－ＸＦ４１（Ｓ）　中焦点レンズ付光出力７７００</t>
  </si>
  <si>
    <t>応接セット（脇卓子１台、長いす１脚、椅子４脚、センターテーブ</t>
  </si>
  <si>
    <t>映写機　サンヨー　ＬＰ－ＸＦ１０００　　　　　　　　　　　　</t>
  </si>
  <si>
    <t>事務机　　　　　　　　　　　　　　　　　</t>
  </si>
  <si>
    <t>いす　　　　　　　　　　　　　　　　　　</t>
  </si>
  <si>
    <t>回転いす　　　　　　　　　　　　　　　　</t>
  </si>
  <si>
    <t>書戸だな　　　　　　　　　　　　　　　　</t>
  </si>
  <si>
    <t>整理箱　　　　　　　　　　　　　　　　　</t>
  </si>
  <si>
    <t>戸だな　　　　　　　　　　　　　　　　　</t>
  </si>
  <si>
    <t>つい立　　　　　　　　　　　　　　　　　</t>
  </si>
  <si>
    <t>テレビ受像機　　　　　　　　　　　　　　</t>
  </si>
  <si>
    <t>ビデオテープレコーダー　　　　　　　　　</t>
  </si>
  <si>
    <t xml:space="preserve">台      </t>
  </si>
  <si>
    <t>机　　　　　　　　　　　　　　　　　　　</t>
  </si>
  <si>
    <t>卓子　　　　　　　　　　　　　　　　　　</t>
  </si>
  <si>
    <t>卓子　　　　　　　　　　　　　　　　　　　　　　　　　　　　</t>
  </si>
  <si>
    <t>患者運搬車　　　　　　　　　　　　　　　</t>
  </si>
  <si>
    <t>車椅子ＮＨ－０６４９－０２　　　　　　　　　　　　　　　　　</t>
  </si>
  <si>
    <t>物置台　　　　　　　　　　　　　　　　　</t>
  </si>
  <si>
    <t>人工そ生器　　　　　　　　　　　　　　　</t>
  </si>
  <si>
    <t>ＡＥＤフィリップスハートスタートＦＲ２　　　　　　　　　　　</t>
  </si>
  <si>
    <t>応接いす　　　　　　　　　　　　　　　　</t>
  </si>
  <si>
    <t>器具だな　　　　　　　　　　　　　　　　</t>
  </si>
  <si>
    <t>照明用コード掛け９００＊１８００　　　　　　　　　　　　　　</t>
  </si>
  <si>
    <t>応接卓子　　　　　　　　　　　　　　　　</t>
  </si>
  <si>
    <t>脚立　　　　　　　　　　　　　　　　　　</t>
  </si>
  <si>
    <t>Ｈ１８００　アルミ合金　　　　　　　　　　　　　　　　　　　</t>
  </si>
  <si>
    <t>保管庫　　　　　　　　　　　　　　　　　</t>
  </si>
  <si>
    <t>ハセガワＳＷＨ－２４　　　　　　　　　　　　　　　　　　　　</t>
  </si>
  <si>
    <t>食器だな　　　　　　　　　　　　　　　　</t>
  </si>
  <si>
    <t>コクヨＳＰ３７Ｎ　　　　　　　　　　　　　　　　　　　　　　</t>
  </si>
  <si>
    <t>ピカコーポレーション　アルミ製ＢＭ－Ａ２７０　　　　　　　　</t>
  </si>
  <si>
    <t>工具セット　　　　　　　　　　　　　　　</t>
  </si>
  <si>
    <t>Ｓ－７９　　　　　　　　　　　　　　　　　　　　　　　　　　</t>
  </si>
  <si>
    <t>作業台　　　　　　　　　　　　　　　　　</t>
  </si>
  <si>
    <t>重量型　　　　　　　　　　　　　　　　　　　　　　　　　　　</t>
  </si>
  <si>
    <t>テレスコープ　ＴＬ－５－９　　　　　　　　　　　　　　　　　</t>
  </si>
  <si>
    <t>溶接機　　　　　　　　　　　　　　　　　</t>
  </si>
  <si>
    <t>小型溶接機　イクラＩＳ－１５０Ｗ　　　　　　　　　　　　　　</t>
  </si>
  <si>
    <t>印刷機　　　　　　　　　　　　　　　　　</t>
  </si>
  <si>
    <t>簡易印刷機リソグラフ　　　　　　　　　　　　　　　　　　　　</t>
  </si>
  <si>
    <t>発電機　　　　　　　　　　　　　　　　　</t>
  </si>
  <si>
    <t>ホンダＥＢ４５００（携行缶付）　　　　　　　　　　　　　　　</t>
  </si>
  <si>
    <t>ミキサー　　　　　　　　　　　　　　　　</t>
  </si>
  <si>
    <t>ミキシングコンソール　ＹＡＭＡＨＡ　ＧＦ１２　１２　　　　　</t>
  </si>
  <si>
    <t>電動刈込機　　　　　　　　　　　　　　　</t>
  </si>
  <si>
    <t>刈込機　共立ＳＲＥ－２６００　防御めがね付　　　　　　　　　</t>
  </si>
  <si>
    <t>ＮＤ０３ＥＢ　　　　　　　　　　　　　　　　　　　　　　　　</t>
  </si>
  <si>
    <t>ＮＤ０４ＥＤ　　　　　　　　　　　　　　　　　　　　　　　　</t>
  </si>
  <si>
    <t>ＡＶテーブル　　　　　　　　　　　　　　　　　　　　　　　　</t>
  </si>
  <si>
    <t>ＮＤ１４ＥＦ　　　　　　　　　　　　　　　　　　　　　　　　</t>
  </si>
  <si>
    <t>掲示板　　　　　　　　　　　　　　　　　</t>
  </si>
  <si>
    <t>整理だな　　　　　　　　　　　　　　　　</t>
  </si>
  <si>
    <t>館長用　　　　　　　　　　　　　　　　　　　　　　　　　　　</t>
  </si>
  <si>
    <t>オカムラ　　　　　　　　　　　　　　　　　　　　　　　　　　</t>
  </si>
  <si>
    <t>ＯＡデスク　オカムラＮＤ２０ＥＮ　　　　　　　　　　　　　　</t>
  </si>
  <si>
    <t>ＯＡデスク　オカムラＮＤ２４ＺＥ　　　　　　　　　　　　　　</t>
  </si>
  <si>
    <t>机　　　　　　　　　　　　　　　　　　　　　　　　　　　　　</t>
  </si>
  <si>
    <t>金庫　　　　　　　　　　　　　　　　　　</t>
  </si>
  <si>
    <t>オリバーＫＤ－８０５７Ｔ　　　　　　　　　　　　　　　　　　</t>
  </si>
  <si>
    <t>更衣箱　　　　　　　　　　　　　　　　　</t>
  </si>
  <si>
    <t>ライオンＰＣ－２７７２　　　　　　　　　　　　　　　　　　　</t>
  </si>
  <si>
    <t>ＩＴＯ　Ａ３ＭＹ－２２６　　　　　　　　　　　　　　　　　　</t>
  </si>
  <si>
    <t>会議室（２－４号館）用　　　　　　　　　　　　　　　　　　　</t>
  </si>
  <si>
    <t>保管箱　　　　　　　　　　　　　　　　　</t>
  </si>
  <si>
    <t>サイドボード　　　　　　　　　　　　　　</t>
  </si>
  <si>
    <t>洋服掛　　　　　　　　　　　　　　　　　</t>
  </si>
  <si>
    <t>コクヨＳＤ－ＭＸＤ１２７　Ｆ２２　　　　　　　　　　　　　　</t>
  </si>
  <si>
    <t>イトーキＣＶ－１０７ＤＡＴＥ　　　　　　　　　　　　　　　　</t>
  </si>
  <si>
    <t>コーナータイプテーブル　　　　　　　　　　　　　　　　　　　</t>
  </si>
  <si>
    <t>水屋戸だな　　　　　　　　　　　　　　　</t>
  </si>
  <si>
    <t>丸テーブル　　　　　　　　　　　　　　　　　　　　　　　　　</t>
  </si>
  <si>
    <t>サイドテーブル　　　　　　　　　　　　　　　　　　　　　　　</t>
  </si>
  <si>
    <t>食事用テーブル　　　　　　　　　　　　　　　　　　　　　　　</t>
  </si>
  <si>
    <t>折りたたみ式キャスター付　　　　　　　　　　　　　　　　　　</t>
  </si>
  <si>
    <t>日本スチールケースＳＷＡＴＨ　ＭＯＲＥ　４２－２０２０Ｈ　　</t>
  </si>
  <si>
    <t>フリッツハンセンＰ１６０　　　　　　　　　　　　　　　　　　</t>
  </si>
  <si>
    <t>オリバーＧＴ－５３２－ＫＤＢ　　　　　　　　　　　　　　　　</t>
  </si>
  <si>
    <t>イトーキＶＷＬ－０２１ＭＡＷ５　　　　　　　　　　　　　　　</t>
  </si>
  <si>
    <t>イトーキＴＮＺ１６８ＥＬＲ４７　　　　　　　　　　　　　　　</t>
  </si>
  <si>
    <t>イトーキＨＸＳ０７９ＨＳＫ１９　　　　　　　　　　　　　　　</t>
  </si>
  <si>
    <t>イトーキＤＤＴ－０８８６ＪＨＴＭ　　　　　　　　　　　　　　</t>
  </si>
  <si>
    <t>ホウトクＦＥ－７５１２　　　　　　　　　　　　　　　　　　　</t>
  </si>
  <si>
    <t>ホウトクＦＥＭ０９特　　　　　　　　　　　　　　　　　　　　</t>
  </si>
  <si>
    <t>メインテーブル　　　　　　　　　　　　　　　　　　　　　　　</t>
  </si>
  <si>
    <t>テーブル　　　　　　　　　　　　　　　　　　　　　　　　　　</t>
  </si>
  <si>
    <t>オカムラＤＫ－９３ＺＺ　Ｗ１８７　　　　　　　　　　　　　　</t>
  </si>
  <si>
    <t>オカムラ８３８８ＡＴ　Ｗ１９１　　　　　　　　　　　　　　　</t>
  </si>
  <si>
    <t>イトーキＴＸＳ１２６４ＥＲ４３　　　　　　　　　　　　　　　</t>
  </si>
  <si>
    <t>イトーキＤＤＴ－１２Ｃ７Ｅ　　　　　　　　　　　　　　　　　</t>
  </si>
  <si>
    <t>コクヨＭＧ－７ＴＲ　　　　　　　　　　　　　　　　　　　　　</t>
  </si>
  <si>
    <t>サイドフォールド幕板付　１８００＊６００　　　　　　　　　　</t>
  </si>
  <si>
    <t>折りたたみテーブル幕板なし　　　　　　　　　　　　　　　　　</t>
  </si>
  <si>
    <t>会議テーブル　　　　　　　　　　　　　　　　　　　　　　　　</t>
  </si>
  <si>
    <t>幕板付１８００＊６００＊７００　　　　　　　　　　　　　　　</t>
  </si>
  <si>
    <t>長卓子　　　　　　　　　　　　　　　　　　　　　　　　　　　</t>
  </si>
  <si>
    <t>アイチＣＩＮ－６００ＬＢ　　　　　　　　　　　　　　　　　　</t>
  </si>
  <si>
    <t>アイチＭＴ－１４－６００ＭＬ　　　　　　　　　　　　　　　　</t>
  </si>
  <si>
    <t>折りたたみテーブル　８１８６ＡＦ　Ｍ６５１　　　　　　　　　</t>
  </si>
  <si>
    <t>折りたたみテーブル　８１８６ＡＢ　Ｍ６５１　　　　　　　　　</t>
  </si>
  <si>
    <t>イトーキＤＤＦ１８６７ＥＨＴＭ　　　　　　　　　　　　　　　</t>
  </si>
  <si>
    <t>イトーキＴＢＭ－６２０１Ｎ－Ｗ６　　　　　　　　　　　　　　</t>
  </si>
  <si>
    <t>イトーキＴＢ－６２０１Ｎ－Ｗ６　　　　　　　　　　　　　　　</t>
  </si>
  <si>
    <t>ビニール張り　　　　　　　　　　　　　　　　　　　　　　　　</t>
  </si>
  <si>
    <t>布張り　　　　　　　　　　　　　　　　　　　　　　　　　　　</t>
  </si>
  <si>
    <t>随行員用いす　　　　　　　　　　　　　　　　　　　　　　　　</t>
  </si>
  <si>
    <t>いす　　　　　　　　　　　　　　　　　　　　　　　　　　　　</t>
  </si>
  <si>
    <t>布張り、クッシュ　　　　　　　　　　　　　　　　　　　　　　</t>
  </si>
  <si>
    <t>コクヨ　　　　　　　　　　　　　　　　　　　　　　　　　　　</t>
  </si>
  <si>
    <t>リチャードサパー　ノル５４－１１１－ＢＭ２２　　　　　　　　</t>
  </si>
  <si>
    <t>モビリアＤＳ３８１１　　　　　　　　　　　　　　　　　　　　</t>
  </si>
  <si>
    <t>Ｂ＆Ｂ　ＡＧＤ－Ａ－Ｃ　　　　　　　　　　　　　　　　　　　</t>
  </si>
  <si>
    <t>オリバーＴＡ－７６０ＰＦ　　　　　　　　　　　　　　　　　　</t>
  </si>
  <si>
    <t>イトーキＫＷＢ３１０ＡＥＫ５Ｅ１　　　　　　　　　　　　　　</t>
  </si>
  <si>
    <t>イトーキＫＫＶ３５０ＡＥＴ４Ｐ１　　　　　　　　　　　　　　</t>
  </si>
  <si>
    <t>ホウトクＫＵＳＣＨ５３０５／４　　　　　　　　　　　　　　　</t>
  </si>
  <si>
    <t>ホウトクＫＵＳＣＨ５３０５／４　４２．５ｃｍ　ＭＡＬＴＡ　Ｂ</t>
  </si>
  <si>
    <t>天然皮革　　　　　　　　　　　　　　　　　　　　　　　　　　</t>
  </si>
  <si>
    <t>グリーン　　　　　　　　　　　　　　　　　　　　　　　　　　</t>
  </si>
  <si>
    <t>ブルー　　　　　　　　　　　　　　　　　　　　　　　　　　　</t>
  </si>
  <si>
    <t>応接いす　　　　　　　　　　　　　　　　　　　　　　　　　　</t>
  </si>
  <si>
    <t>日本スチールケースＳＷＡＴＨＭＯＲＥ２４２　　　　　　　　　</t>
  </si>
  <si>
    <t>日本スチールケースＤＥＳＩＧＨＴＥＸ　ＣＨＡＮＴＩＬＬＹ　Ｃ</t>
  </si>
  <si>
    <t>ホウトクＫｕｓｃｈ５３６５／５　　　　　　　　　　　　　　　</t>
  </si>
  <si>
    <t>オカムラ８３１９ＡＢ　ＦＫ０５　　　　　　　　　　　　　　　</t>
  </si>
  <si>
    <t>オカムラ８３１９ＡＡ　ＦＫ０５　　　　　　　　　　　　　　　</t>
  </si>
  <si>
    <t>オカムラ８３３１ＲＡ　Ｆ６０１　　　　　　　　　　　　　　　</t>
  </si>
  <si>
    <t>イトーキＬＸＳ１１ＡＦ４３Ｍ２　　　　　　　　　　　　　　　</t>
  </si>
  <si>
    <t>ホウトクＹＰ１６２１　　　　　　　　　　　　　　　　　　　　</t>
  </si>
  <si>
    <t>イトーキＬＨＢ－１３ＡＥ－Ｗ５　　　　　　　　　　　　　　　</t>
  </si>
  <si>
    <t>イトーキＬＤＢ－１１ＡＥＷ５　　　　　　　　　　　　　　　　</t>
  </si>
  <si>
    <t>イトーキＬＸＳ１１ＡＦ４３Ｌ２　　　　　　　　　　　　　　　</t>
  </si>
  <si>
    <t>回転いす　　　　　　　　　　　　　　　　　　　　　　　　　　</t>
  </si>
  <si>
    <t>５本足キャスター　布　　　　　　　　　　　　　　　　　　　　</t>
  </si>
  <si>
    <t>バイオテックチェアー　　　　　　　　　　　　　　　　　　　　</t>
  </si>
  <si>
    <t>リチャードサパー　ノル４０－４０８　　　　　　　　　　　　　</t>
  </si>
  <si>
    <t>オカムラＣＦ４３ＺＲ　ＦＤ０１　　　　　　　　　　　　　　　</t>
  </si>
  <si>
    <t>オカムラＣＢ３５ＡＦ　ＦＡ０２（布張）　　　　　　　　　　　</t>
  </si>
  <si>
    <t>ホウトクＮ７１０ＢＣ　　　　　　　　　　　　　　　　　　　　</t>
  </si>
  <si>
    <t>ホウトクＪＡ１００　　　　　　　　　　　　　　　　　　　　　</t>
  </si>
  <si>
    <t>くろがね４５８－１２０Ｆ　　　　　　　　　　　　　　　　　　</t>
  </si>
  <si>
    <t>背付／肘なし　ビニール張り　　　　　　　　　　　　　　　　　</t>
  </si>
  <si>
    <t>スザンヌソファー　　　　　　　　　　　　　　　　　　　　　　</t>
  </si>
  <si>
    <t>フェスタロビー　　　　　　　　　　　　　　　　　　　　　　　</t>
  </si>
  <si>
    <t>日本スチールケース　ＳＷＡＴＨ　ＭＯＲＥ　２４２－３　　　　</t>
  </si>
  <si>
    <t>リチャードサパー　ノル５４－１１３－ＢＭ２２　　　　　　　　</t>
  </si>
  <si>
    <t>モビリアＤＳ３８３１　　　　　　　　　　　　　　　　　　　　</t>
  </si>
  <si>
    <t>イトーキＬＳＵ－５０３０ＡＲ　　　　　　　　　　　　　　　　</t>
  </si>
  <si>
    <t>イトーキＬＸＳ１３ＡＦ４３Ｍ２　　　　　　　　　　　　　　　</t>
  </si>
  <si>
    <t>ベンチ　　　　　　　　　　　　　　　　　</t>
  </si>
  <si>
    <t>ベンチ　　　　　　　　　　　　　　　　　　　　　　　　　　　</t>
  </si>
  <si>
    <t>腰掛　　　　　　　　　　　　　　　　　　</t>
  </si>
  <si>
    <t>コントラバス用いす　　　　　　　　　　　　　　　　　　　　　</t>
  </si>
  <si>
    <t>長腰掛　　　　　　　　　　　　　　　　　</t>
  </si>
  <si>
    <t>ロビーチェア　２００＊４５０＊４１５　　　　　　　　　　　　</t>
  </si>
  <si>
    <t>受付台　　　　　　　　　　　　　　　　　</t>
  </si>
  <si>
    <t>コクヨＣＯ－Ｗ５０ＰＡ４　　　　　　　　　　　　　　　　　　</t>
  </si>
  <si>
    <t>演台　　　　　　　　　　　　　　　　　　</t>
  </si>
  <si>
    <t>２１００＊９５０＊９００　　　　　　　　　　　　　　　　　　</t>
  </si>
  <si>
    <t>司会者台　８００＊７００＊１２００　　　　　　　　　　　　　</t>
  </si>
  <si>
    <t>Ｗ１２００　　　　　　　　　　　　　　　　　　　　　　　　　</t>
  </si>
  <si>
    <t>Ｗ９００　　　　　　　　　　　　　　　　　　　　　　　　　　</t>
  </si>
  <si>
    <t>アイチキャスター付　１２００＊６００＊１０５０　　　　　　　</t>
  </si>
  <si>
    <t>特注　　　　　　　　　　　　　　　　　　　　　　　　　　　　</t>
  </si>
  <si>
    <t>演台　　　　　　　　　　　　　　　　　　　　　　　　　　　　</t>
  </si>
  <si>
    <t>コクヨ　ＷＡ－１２０　　　　　　　　　　　　　　　　　　　　</t>
  </si>
  <si>
    <t>コクヨ　ＷＡ－１２　　　　　　　　　　　　　　　　　　　　　</t>
  </si>
  <si>
    <t>ＩＴＯ　ＥＭ－１５Ｒ　　　　　　　　　　　　　　　　　　　　</t>
  </si>
  <si>
    <t>ＩＴＯ　ＥＭ－１１０Ｒ　　　　　　　　　　　　　　　　　　　</t>
  </si>
  <si>
    <t>コクヨＷＡ１７ＲＴ　　　　　　　　　　　　　　　　　　　　　</t>
  </si>
  <si>
    <t>コクヨＷＡ１７０ＲＴ　　　　　　　　　　　　　　　　　　　　</t>
  </si>
  <si>
    <t>コクヨＷＡ－１１１ＴＮ　国際会議室用司会台　　　　　　　　　</t>
  </si>
  <si>
    <t>ポータブルステージ（オカムラＬ９０７ＣＷ－Ｂ１７）、スカート</t>
  </si>
  <si>
    <t>昇降台　　　　　　　　　　　　　　　　　</t>
  </si>
  <si>
    <t>ステージ用階段　１０００＊９００　　　　　　　　　　　　　　</t>
  </si>
  <si>
    <t>ステージ用階段　１２００＊１１００　　　　　　　　　　　　　</t>
  </si>
  <si>
    <t>ステージ用ステップ　Ｈ４００　　　　　　　　　　　　　　　　</t>
  </si>
  <si>
    <t>折り畳み踏台　　　　　　　　　　　　　　　　　　　　　　　　</t>
  </si>
  <si>
    <t>踏台　　　　　　　　　　　　　　　　　　　　　　　　　　　　</t>
  </si>
  <si>
    <t>コクヨＳＰ－１３　　　　　　　　　　　　　　　　　　　　　　</t>
  </si>
  <si>
    <t>花台　６５０＊６５０＊６５０　　　　　　　　　　　　　　　　</t>
  </si>
  <si>
    <t>賞品台（節台）　１０５０＊８００＊７００　　　　　　　　　　</t>
  </si>
  <si>
    <t>ティーキャビネット　　　　　　　　　　　　　　　　　　　　　</t>
  </si>
  <si>
    <t>花台　　　　　　　　　　　　　　　　　　　　　　　　　　　　</t>
  </si>
  <si>
    <t>物置台　　　　　　　　　　　　　　　　　　　　　　　　　　　</t>
  </si>
  <si>
    <t>コクヨＷＦ－１２　　　　　　　　　　　　　　　　　　　　　　</t>
  </si>
  <si>
    <t>ＩＴＯ　ＴＶ－１０００Ｂ　テレビ台　　　　　　　　　　　　　</t>
  </si>
  <si>
    <t>ＦＴ－０１（サイドトレー含む）　ＯＨＰ台　　　　　　　　　　</t>
  </si>
  <si>
    <t>スライド台映機ＭＳ－１３０　　　　　　　　　　　　　　　　　</t>
  </si>
  <si>
    <t>共栄商事ＡＯＨ－１００ＥＢ　　　　　　　　　　　　　　　　　</t>
  </si>
  <si>
    <t>共栄商事Ｍ－１３６ＤＸ　　　　　　　　　　　　　　　　　　　</t>
  </si>
  <si>
    <t>スライド台　高さ片側可変式８００＊８００＊１１００　　　　　</t>
  </si>
  <si>
    <t>プロジェクター台　オーロラＭ－１３６ＭＥ　　　　　　　　　　</t>
  </si>
  <si>
    <t>センチュリーホール用映写台　６００＊９００＊１８００　　　　</t>
  </si>
  <si>
    <t>白鳥ホール用映写台　アルミ製６００＊９００＊１８００Ｈ　出口</t>
  </si>
  <si>
    <t>国際会議室用映写台　アルミ製６００＊９００＊１８００Ｈ　出口</t>
  </si>
  <si>
    <t>くつだな　　　　　　　　　　　　　　　　</t>
  </si>
  <si>
    <t>シューズボックス　　　　　　　　　　　　　　　　　　　　　　</t>
  </si>
  <si>
    <t>軽量だな　　　　　　　　　　　　　　　　　　　　　　　　　　</t>
  </si>
  <si>
    <t>移動ラック（レール付）　　　　　　　　　　　　　　　　　　　</t>
  </si>
  <si>
    <t>図面だな　　　　　　　　　　　　　　　　　　　　　　　　　　</t>
  </si>
  <si>
    <t>スチール棚　　　　　　　　　　　　　　　　　　　　　　　　　</t>
  </si>
  <si>
    <t>スチール棚（ボード）　　　　　　　　　　　　　　　　　　　　</t>
  </si>
  <si>
    <t>倉庫用棚　別製　　　　　　　　　　　　　　　　　　　　　　　</t>
  </si>
  <si>
    <t>オカムラ８３６０ＦＢ　Ｗ４２　　　　　　　　　　　　　　　　</t>
  </si>
  <si>
    <t>コクヨＵＨ－Ｋ１５Ｍ　　　　　　　　　　　　　　　　　　　　</t>
  </si>
  <si>
    <t>ＩＴＯ　Ｔ７６４５－５　　　　　　　　　　　　　　　　　　　</t>
  </si>
  <si>
    <t>ＩＴＯ　７７６４５－５　　　　　　　　　　　　　　　　　　　</t>
  </si>
  <si>
    <t>クローク・別注　　　　　　　　　　　　　　　　　　　　　　　</t>
  </si>
  <si>
    <t>陳列だな　　　　　　　　　　　　　　　　　　　　　　　　　　</t>
  </si>
  <si>
    <t>コクヨＨＳ－１５１　　　　　　　　　　　　　　　　　　　　　</t>
  </si>
  <si>
    <t>４人用　　　　　　　　　　　　　　　　　　　　　　　　　　　</t>
  </si>
  <si>
    <t>ロッカー　　　　　　　　　　　　　　　　　　　　　　　　　　</t>
  </si>
  <si>
    <t>ワードロープ　　　　　　　　　　　　　　　　　　　　　　　　</t>
  </si>
  <si>
    <t>ＩＴＯ　Ｌ３７－ＮＧ　　　　　　　　　　　　　　　　　　　　</t>
  </si>
  <si>
    <t>イトーキＪＡＨ－Ｍ１５８ＨＷＳ－ＷＥ　その他　　　　　　　　</t>
  </si>
  <si>
    <t>プラスＬＴ－３２　　　　　　　　　　　　　　　　　　　　　　</t>
  </si>
  <si>
    <t>コクヨＰＬＫ－４２２　ＦｉＹ　　　　　　　　　　　　　　　　</t>
  </si>
  <si>
    <t>ＢＷＮ－Ｇ３０　　　　　　　　　　　　　　　　　　　　　　　</t>
  </si>
  <si>
    <t>コクヨ　ガラス戸　　　　　　　　　　　　　　　　　　　　　　</t>
  </si>
  <si>
    <t>書箱　　　　　　　　　　　　　　　　　　</t>
  </si>
  <si>
    <t>コクヨＳ－Ｂ２３　　　　　　　　　　　　　　　　　　　　　　</t>
  </si>
  <si>
    <t>コクヨＳＫ－Ｆ２２　　　　　　　　　　　　　　　　　　　　　</t>
  </si>
  <si>
    <t>ビジネスユニット　　　　　　　　　　　　　　　　　　　　　　</t>
  </si>
  <si>
    <t>ワゴン　　　　　　　　　　　　　　　　　　　　　　　　　　　</t>
  </si>
  <si>
    <t>ファイリング・トラック　　　　　　　　　　　　　　　　　　　</t>
  </si>
  <si>
    <t>ＡＩ用マップケース５段　　　　　　　　　　　　　　　　　　　</t>
  </si>
  <si>
    <t>ＩＴＯ　３Ａ３　　　　　　　　　　　　　　　　　　　　　　　</t>
  </si>
  <si>
    <t>ウチダ６Ｓ　ベース無　　　　　　　　　　　　　　　　　　　　</t>
  </si>
  <si>
    <t>９００Ｗ＊４６０Ｄ＊１０９０Ｈ　　　　　　　　　　　　　　　</t>
  </si>
  <si>
    <t>イトーキＪＡＨ－Ｍ１５８ＨＳＳ－ＷＥ　その他　　　　　　　　</t>
  </si>
  <si>
    <t>コクヨＵＨ－Ｓ１５Ｍ　　　　　　　　　　　　　　　　　　　　</t>
  </si>
  <si>
    <t>コクヨＨＰ－ＳＧ３Ｎ　　　　　　　　　　　　　　　　　　　　</t>
  </si>
  <si>
    <t>コクヨ・ベース付　　　　　　　　　　　　　　　　　　　　　　</t>
  </si>
  <si>
    <t>耐火金庫　　　　　　　　　　　　　　　　　　　　　　　　　　</t>
  </si>
  <si>
    <t>イトーキＨ３６０Ｗ－２０　　　　　　　　　　　　　　　　　　</t>
  </si>
  <si>
    <t>イトーキＨＮＧ－３６Ｗ－２０　　　　　　　　　　　　　　　　</t>
  </si>
  <si>
    <t>イトーキ４３ＷＸＳＥＴ－２０　　　　　　　　　　　　　　　　</t>
  </si>
  <si>
    <t>びょう風格納庫　　　　　　　　　　　　　　　　　　　　　　　</t>
  </si>
  <si>
    <t>金屏風保管箱　　　　　　　　　　　　　　　　　　　　　　　　</t>
  </si>
  <si>
    <t>サクラ材３０００＊５８０＊６９５　　　　　　　　　　　　　　</t>
  </si>
  <si>
    <t>コインロッカー　　　　　　　　　　　　　</t>
  </si>
  <si>
    <t>２列＊４段＊８人用　　　　　　　　　　　　　　　　　　　　　</t>
  </si>
  <si>
    <t>コクヨＫＬ－４ＧＮ　　　　　　　　　　　　　　　　　　　　　</t>
  </si>
  <si>
    <t>コクヨＫＬ－８ＧＮ　　　　　　　　　　　　　　　　　　　　　</t>
  </si>
  <si>
    <t>かさ立　　　　　　　　　　　　　　　　　</t>
  </si>
  <si>
    <t>オカムラＬ９４８ＳＤ－Ｓ０１　　　　　　　　　　　　　　　　</t>
  </si>
  <si>
    <t>パーテーションベース　ステンレス　　　　　　　　　　　　　　</t>
  </si>
  <si>
    <t>アコーディオンパネル　　　　　　　　　　　　　　　　　　　　</t>
  </si>
  <si>
    <t>３面折りたたみ　ビニールレザー　　　　　　　　　　　　　　　</t>
  </si>
  <si>
    <t>両面ビニールレザー　１８１０＊３９０＊２１００　　　　　　　</t>
  </si>
  <si>
    <t>コクヨＳＮ－６６３Ｖ　　　　　　　　　　　　　　　　　　　　</t>
  </si>
  <si>
    <t>プラスＭＹ－ＤＢ３　　　　　　　　　　　　　　　　　　　　　</t>
  </si>
  <si>
    <t>ホウトク　ロッシーＨＡ１２　Ｈ２１００　レザー張　　　　　　</t>
  </si>
  <si>
    <t>びょうぶ　　　　　　　　　　　　　　　　</t>
  </si>
  <si>
    <t>金屏風２４２４＊７２７＊６曲　　　　　　　　　　　　　　　　</t>
  </si>
  <si>
    <t>銀屏風２４２４＊７２７＊６曲　　　　　　　　　　　　　　　　</t>
  </si>
  <si>
    <t>鳥の子屏風２４２４＊７２７＊６曲　　　　　　　　　　　　　　</t>
  </si>
  <si>
    <t>金屏風Ｐ８－４曲　　　　　　　　　　　　　　　　　　　　　　</t>
  </si>
  <si>
    <t>金屏風７尺６曲　　　　　　　　　　　　　　　　　　　　　　　</t>
  </si>
  <si>
    <t>ステンレス製１２６５＊５００＊１５７５　　　　　　　　　　　</t>
  </si>
  <si>
    <t>コート・ハンガー　　　　　　　　　　　　　　　　　　　　　　</t>
  </si>
  <si>
    <t>スタンド式ステンレス丸パイプ　　　　　　　　　　　　　　　　</t>
  </si>
  <si>
    <t>置物　　　　　　　　　　　　　　　　　　</t>
  </si>
  <si>
    <t>人工樹　談林　ベンジャミンＤＳＯ４５０　リーフＤＳＬ－２　　</t>
  </si>
  <si>
    <t>人工樹　談林　ベンジャミンＤＳＯ４５０　リーフＤＳＬ－３　　</t>
  </si>
  <si>
    <t>人工樹　　　　　　　　　　　　　　　　　　　　　　　　　　　</t>
  </si>
  <si>
    <t>造花・花瓶付　　　　　　　　　　　　　　　　　　　　　　　　</t>
  </si>
  <si>
    <t>鏡　　　　　　　　　　　　　　　　　　　</t>
  </si>
  <si>
    <t>楽屋更衣室用　　　　　　　　　　　　　　　　　　　　　　　　</t>
  </si>
  <si>
    <t>儀式用幕　　　　　　　　　　　　　　　　</t>
  </si>
  <si>
    <t>儀式幕（ジョーゼット）　　　　　　　　　　　　　　　　　　　</t>
  </si>
  <si>
    <t>仕切用幕　　　　　　　　　　　　　　　　</t>
  </si>
  <si>
    <t>紅白幕８５００＊１２０００　　　　　　　　　　　　　　　　　</t>
  </si>
  <si>
    <t>紗幕（黒）　　　　　　　　　　　　　　　　　　　　　　　　　</t>
  </si>
  <si>
    <t>紗幕（白）　　　　　　　　　　　　　　　　　　　　　　　　　</t>
  </si>
  <si>
    <t>浅黄幕８５００＊１２０００　　　　　　　　　　　　　　　　　</t>
  </si>
  <si>
    <t>英国紗（白）　　　　　　　　　　　　　　　　　　　　　　　　</t>
  </si>
  <si>
    <t>英国紗（黒）　　　　　　　　　　　　　　　　　　　　　　　　</t>
  </si>
  <si>
    <t>仕切幕（一文字幕）　　　　　　　　　　　　　　　　　　　　　</t>
  </si>
  <si>
    <t>仕切幕（袖幕）　　　　　　　　　　　　　　　　　　　　　　　</t>
  </si>
  <si>
    <t>プラントボックス　　　　　　　　　　　　</t>
  </si>
  <si>
    <t>丸伊製陶　陶器（白）　　　　　　　　　　　　　　　　　　　　</t>
  </si>
  <si>
    <t>丸伊製陶　陶器（黒）　　　　　　　　　　　　　　　　　　　　</t>
  </si>
  <si>
    <t>インターモベル　素焼　　　　　　　　　　　　　　　　　　　　</t>
  </si>
  <si>
    <t>硬貨計算機　　　　　　　　　　　　　　　</t>
  </si>
  <si>
    <t>小型硬貨選別機　グローリー社製　ＳＵ－１００　　　　　　　　</t>
  </si>
  <si>
    <t>抽せん器　　　　　　　　　　　　　　　　</t>
  </si>
  <si>
    <t>Ｂ型５００球用３０＊３０ｃｍ　　　　　　　　　　　　　　　　</t>
  </si>
  <si>
    <t>電気スタンド　　　　　　　　　　　　　　</t>
  </si>
  <si>
    <t>ＥＮＤＯ　ＸＬＦ－４１５２Ｂ　　　　　　　　　　　　　　　　</t>
  </si>
  <si>
    <t>ＥＮＤＯ　ＸＬＦ－４１５３Ｂ　　　　　　　　　　　　　　　　</t>
  </si>
  <si>
    <t>ＥＮＤＯ　ＸＬＦ－４１５４Ｂ　　　　　　　　　　　　　　　　</t>
  </si>
  <si>
    <t>ＥＮＤＯ　ＸＬＦ－４１５５Ｂ　　　　　　　　　　　　　　　　</t>
  </si>
  <si>
    <t>図面箱　　　　　　　　　　　　　　　　　</t>
  </si>
  <si>
    <t>コクヨＭＣ－ＤＡＩＭ　　　　　　　　　　　　　　　　　　　　</t>
  </si>
  <si>
    <t>コクヨＭＣ－ＤＡＲＭ（ベースＭＣＢ－ＤＡＦ０５、脚ＣＢ－ＤＦ</t>
  </si>
  <si>
    <t>コクヨＭＣ－ＣＩＭ　　　　　　　　　　　　　　　　　　　　　</t>
  </si>
  <si>
    <t>コクヨＢＷＮ　Ｍ３１Ｍ　　　　　　　　　　　　　　　　　　　</t>
  </si>
  <si>
    <t>行事予定板　　　　　　　　　　　　　　　</t>
  </si>
  <si>
    <t>コクヨＢＢ－Ｋ２３６ＭＷ１　　　　　　　　　　　　　　　　　</t>
  </si>
  <si>
    <t>イトーキＤＲ－３６６－４９　　　　　　　　　　　　　　　　　</t>
  </si>
  <si>
    <t>イトーキＤＲ－３６４－４９　　　　　　　　　　　　　　　　　</t>
  </si>
  <si>
    <t>イトーキＤＲ－４１３　　　　　　　　　　　　　　　　　　　　</t>
  </si>
  <si>
    <t>旗　　　　　　　　　　　　　　　　　　　</t>
  </si>
  <si>
    <t>国旗２４００＊１７００　　　　　　　　　　　　　　　　　　　</t>
  </si>
  <si>
    <t>市旗２４００＊１７００　　　　　　　　　　　　　　　　　　　</t>
  </si>
  <si>
    <t>標示器　　　　　　　　　　　　　　　　　</t>
  </si>
  <si>
    <t>めくり台４２０＊１５００　　　　　　　　　　　　　　　　　　</t>
  </si>
  <si>
    <t>めくり台５００＊１８００　　　　　　　　　　　　　　　　　　</t>
  </si>
  <si>
    <t>催物案内板　　　　　　　　　　　　　　　　　　　　　　　　　</t>
  </si>
  <si>
    <t>拡声装置　　　　　　　　　　　　　　　　</t>
  </si>
  <si>
    <t>マッチングトランスＢＯＸ　６００Ω（付属品）　　　　　　　　</t>
  </si>
  <si>
    <t>マッチングトランスＢＯＸ　１０ＫΩ（付属品）　　　　　　　　</t>
  </si>
  <si>
    <t>松下ＷＸ－２０５Ｃ　Ｃｈ１１　　　　　　　　　　　　　　　　</t>
  </si>
  <si>
    <t>拡声器　　　　　　　　　　　　　　　　　</t>
  </si>
  <si>
    <t>ＢＯＳＥ　１０１ＭＭＳＴＡＧＥ　　　　　　　　　　　　　　　</t>
  </si>
  <si>
    <t>スタンド式スピーカー　ＥＶ　ＳＸ－２００　（付属スピーカース</t>
  </si>
  <si>
    <t>パラ分岐ＢＯＸ（付属品）　　　　　　　　　　　　　　　　　　</t>
  </si>
  <si>
    <t>トランス分岐ＢＯＸ（付属品）　　　　　　　　　　　　　　　　</t>
  </si>
  <si>
    <t>増幅器　　　　　　　　　　　　　　　　　</t>
  </si>
  <si>
    <t>ＢＯＳＥ　１７０２ＭＸ－Ⅱ　　　　　　　　　　　　　　　　　</t>
  </si>
  <si>
    <t>ヤマハ　グラフィックイコライザー　　　　　　　　　　　　　　</t>
  </si>
  <si>
    <t>ダイレクトボックスＢＢＳ　　　　　　　　　　　　　　　　　　</t>
  </si>
  <si>
    <t>マイクロホン　　　　　　　　　　　　　　</t>
  </si>
  <si>
    <t>ナショナル　ワイヤレス　　　　　　　　　　　　　　　　　　　</t>
  </si>
  <si>
    <t>ＡＫＧ　ＣＫ９８　　　　　　　　　　　　　　　　　　　　　　</t>
  </si>
  <si>
    <t>ＡＫＧ　ＣＫ９１　　　　　　　　　　　　　　　　　　　　　　</t>
  </si>
  <si>
    <t>ＡＫＧ　Ｄ３９００　　　　　　　　　　　　　　　　　　　　　</t>
  </si>
  <si>
    <t>ＡＫＧ　ＳＥ３００Ｂ　　　　　　　　　　　　　　　　　　　　</t>
  </si>
  <si>
    <t>マイクロホンスタンド　　　　　　　　　　</t>
  </si>
  <si>
    <t>高砂ＭＳ２８　　　　　　　　　　　　　　　　　　　　　　　　</t>
  </si>
  <si>
    <t>高砂製作所ＭＦ－２１３　　　　　　　　　　　　　　　　　　　</t>
  </si>
  <si>
    <t>マイクロホンミキサー　　　　　　　　　　</t>
  </si>
  <si>
    <t>ポータブルミキサー　　　　　　　　　　　　　　　　　　　　　</t>
  </si>
  <si>
    <t>松下ＷＲ－３３　　　　　　　　　　　　　　　　　　　　　　　</t>
  </si>
  <si>
    <t>ヤマハＱ１１３１　　　　　　　　　　　　　　　　　　　　　　</t>
  </si>
  <si>
    <t>ヤマハＱ２０３１Ａ　　　　　　　　　　　　　　　　　　　　　</t>
  </si>
  <si>
    <t>エクセレントオンキョーＦＤＳ－１　　　　　　　　　　　　　　</t>
  </si>
  <si>
    <t>１ｃｈマイクミキサー　　　　　　　　　　　　　　　　　　　　</t>
  </si>
  <si>
    <t>ナショナルＷＲ－３３　　　　　　　　　　　　　　　　　　　　</t>
  </si>
  <si>
    <t>信号発生器　　　　　　　　　　　　　　　</t>
  </si>
  <si>
    <t>シグナルプロセッサーｄｂｘ１６８Ａ　　　　　　　　　　　　　</t>
  </si>
  <si>
    <t>ナショナルＴＨ－３６ＷＤ１０　　　　　　　　　　　　　　　　</t>
  </si>
  <si>
    <t>ＴＨ３２ＧＷＩ　　　　　　　　　　　　　　　　　　　　　　　</t>
  </si>
  <si>
    <t>モニターＴＭ－１４４１Ｖ　　　　　　　　　　　　　　　　　　</t>
  </si>
  <si>
    <t>三菱３６Ｗ－ＣＺ２０ＷＭ　　　　　　　　　　　　　　　　　　</t>
  </si>
  <si>
    <t>電話台　　　　　　　　　　　　　　　　　</t>
  </si>
  <si>
    <t>Ｍｙテーブル　　　　　　　　　　　　　　　　　　　　　　　　</t>
  </si>
  <si>
    <t>シャルル　　　　　　　　　　　　　　　　　　　　　　　　　　</t>
  </si>
  <si>
    <t>オカムラ８３５８ＬＦ　Ｗ３９４　　　　　　　　　　　　　　　</t>
  </si>
  <si>
    <t>サンヨーＳ－ＶＨＳ　Ｖ８－Ｓ３０００Ｂ（Ｎ）　　　　　　　　</t>
  </si>
  <si>
    <t>松下電器ＮＶ－Ｗ１　　　　　　　　　　　　　　　　　　　　　</t>
  </si>
  <si>
    <t>パナソニックＮＶ－ＳＶ１　　　　　　　　　　　　　　　　　　</t>
  </si>
  <si>
    <t>録音機　　　　　　　　　　　　　　　　　</t>
  </si>
  <si>
    <t>オタリＭＸ－５０５０ＢⅢ２　　　　　　　　　　　　　　　　　</t>
  </si>
  <si>
    <t>カセットテープレコーダー　　　　　　　　　　　　　　　　　　</t>
  </si>
  <si>
    <t>カセットデッキ　ナショナルＴＥＡＣ１２２ＭＫ　　　　　　　　</t>
  </si>
  <si>
    <t>録音機　ＭＤプレーヤーＭＤ－５０１　　　　　　　　　　　　　</t>
  </si>
  <si>
    <t>ワイヤレスマイク　　　　　　　　　　　　</t>
  </si>
  <si>
    <t>松下ＷＸ－１５００　ｃｈ１１　　　　　　　　　　　　　　　　</t>
  </si>
  <si>
    <t>松下ＷＸ－１５００　ｃｈ１２　　　　　　　　　　　　　　　　</t>
  </si>
  <si>
    <t>松下ＷＸ－１５００　ｃｈ１３　　　　　　　　　　　　　　　　</t>
  </si>
  <si>
    <t>松下ＷＸ－１５００　ｃｈ１４　　　　　　　　　　　　　　　　</t>
  </si>
  <si>
    <t>松下ＷＸ－１６００　ｃｈ１１　　　　　　　　　　　　　　　　</t>
  </si>
  <si>
    <t>松下ＷＸ－１６００　ｃｈ１２　　　　　　　　　　　　　　　　</t>
  </si>
  <si>
    <t>松下ＷＸ－１６００　ｃｈ１３　　　　　　　　　　　　　　　　</t>
  </si>
  <si>
    <t>松下ＷＸ－１６００　ｃｈ１４　　　　　　　　　　　　　　　　</t>
  </si>
  <si>
    <t>マイクＷＸ－４２１２　　　　　　　　　　　　　　　　　　　　</t>
  </si>
  <si>
    <t>ラジオカセットレコーダー　　　　　　　　</t>
  </si>
  <si>
    <t>ダブルカセットデッキＲＳ－ＴＲ５７５－Ｋ　　　　　　　　　　</t>
  </si>
  <si>
    <t>ダブルカセットデッキＲＳ－ＡＺ７－Ｋ　　　　　　　　　　　　</t>
  </si>
  <si>
    <t>分配器　　　　　　　　　　　　　　　　　</t>
  </si>
  <si>
    <t>映像分配器　　　　　　　　　　　　　　　　　　　　　　　　　</t>
  </si>
  <si>
    <t>二葉工業　Ｓ５３０Ｄ　　　　　　　　　　　　　　　　　　　　</t>
  </si>
  <si>
    <t>カップケース　　　　　　　　　　　　　　　　　　　　　　　　</t>
  </si>
  <si>
    <t>ビジネスキッチン　　　　　　　　　　　　　　　　　　　　　　</t>
  </si>
  <si>
    <t>姿見鏡　　　　　　　　　　　　　　　　　</t>
  </si>
  <si>
    <t>１５００＊６００　　　　　　　　　　　　　　　　　　　　　　</t>
  </si>
  <si>
    <t>ベッド　　　　　　　　　　　　　　　　　</t>
  </si>
  <si>
    <t>フランスベッド　　　　　　　　　　　　　　　　　　　　　　　</t>
  </si>
  <si>
    <t>マットレス　　　　　　　　　　　　　　　</t>
  </si>
  <si>
    <t>扇風機　　　　　　　　　　　　　　　　　</t>
  </si>
  <si>
    <t>スタンド型　　　　　　　　　　　　　　　　　　　　　　　　　</t>
  </si>
  <si>
    <t>黒板　　　　　　　　　　　　　　　　　　</t>
  </si>
  <si>
    <t>パーム上下黒板　　　　　　　　　　　　　　　　　　　　　　　</t>
  </si>
  <si>
    <t>回転黒板　　　　　　　　　　　　　　　　　　　　　　　　　　</t>
  </si>
  <si>
    <t>ホワイトボード　　　　　　　　　　　　　</t>
  </si>
  <si>
    <t>１８００　ｘ　５７５　ｘ　２２７０　　　　　　　　　　　　　</t>
  </si>
  <si>
    <t>コクヨ　ＢＢＳ　４６　ＷＩＮ　　　　　　　　　　　　　　　　</t>
  </si>
  <si>
    <t>別注　上・下　　　　　　　　　　　　　　　　　　　　　　　　</t>
  </si>
  <si>
    <t>会議室用（２、４号館）移動式　　　　　　　　　　　　　　　　</t>
  </si>
  <si>
    <t>ウチダＭ－３６ＨＷＡ／ＨＷ　　　　　　　　　　　　　　　　　</t>
  </si>
  <si>
    <t>抵抗器　　　　　　　　　　　　　　　　　</t>
  </si>
  <si>
    <t>かげマイク用アッテネター　　　　　　　　　　　　　　　　　　</t>
  </si>
  <si>
    <t>変圧器　　　　　　　　　　　　　　　　　</t>
  </si>
  <si>
    <t>特殊電源コンセントボックス照明用Ｃコネクター　　　　　　　　</t>
  </si>
  <si>
    <t>スライド映写機　キャビンＣＳ－１５ＭＴ　　　　　　　　　　　</t>
  </si>
  <si>
    <t>ビデオプロジェクター用　　中焦点レンズ　　　　　　　　　　　</t>
  </si>
  <si>
    <t>ビデオプロジェクター用　　接続ケーブル４０ｍ　　　　　　　　</t>
  </si>
  <si>
    <t>液晶プロジェクター　サンヨーＬＰ－ＸＰ４１　　　　　　　　　</t>
  </si>
  <si>
    <t>液晶プロジェクター　サンヨーＬＰ－ＸＰ５５（Ｓ）　　　　　　</t>
  </si>
  <si>
    <t>液晶プロジェクター　　　　　　　　　　　　　　　　　　　　　</t>
  </si>
  <si>
    <t>交換レンズ　　　　　　　　　　　　　　　</t>
  </si>
  <si>
    <t>長焦点レンズ　サンヨーＬＮＳ－Ｔ０１　　　　　　　　　　　　</t>
  </si>
  <si>
    <t>液晶プロジェクタ用中焦点レンズ　サンヨーＬＮＳ－Ｍ０１２　　</t>
  </si>
  <si>
    <t>液晶プロジェクタ用焦点レンズ　サンヨーＬＮＳ－Ｔ０２　　　　</t>
  </si>
  <si>
    <t>スクリーン　　　　　　　　　　　　　　　</t>
  </si>
  <si>
    <t>映機ＴＰ２１２１　三脚スタンド　　　　　　　　　　　　　　　</t>
  </si>
  <si>
    <t>映像センター　ＣＦ１５０　　　　　　　　　　　　　　　　　　</t>
  </si>
  <si>
    <t>共栄商事　ＷＳ－２１ＤＸ　　　　　　　　　　　　　　　　　　</t>
  </si>
  <si>
    <t>オーロラ製　ＶＰＭ－２５０ＰＢ　２５０インチ　吊り下げ型　　</t>
  </si>
  <si>
    <t>オーエス　Ｄ２１０Ｅ　ホワイト　　　　　　　　　　　　　　　</t>
  </si>
  <si>
    <t>シネマ工房　掛図式２５０型　ＣＫＨ－２５０Ｗ　　　　　　　　</t>
  </si>
  <si>
    <t>紙くず入れ　　　　　　　　　　　　　　　</t>
  </si>
  <si>
    <t>ステンレス　　　　　　　　　　　　　　　　　　　　　　　　　</t>
  </si>
  <si>
    <t>（丸型　径２８０　高６００　ステンレス製）　　　　　　　　　</t>
  </si>
  <si>
    <t>くず入れ　　　　　　　　　　　　　　　　　　　　　　　　　　</t>
  </si>
  <si>
    <t>下水掃じ器　　　　　　　　　　　　　　　</t>
  </si>
  <si>
    <t>下水管清掃用　　　　　　　　　　　　　　　　　　　　　　　　</t>
  </si>
  <si>
    <t>掃じ用具箱　　　　　　　　　　　　　　　</t>
  </si>
  <si>
    <t>Ｗ６００＊Ｄ５１５＊Ｈ１７９０　　　　　　　　　　　　　　　</t>
  </si>
  <si>
    <t>ダストボックス　　　　　　　　　　　　　</t>
  </si>
  <si>
    <t>ダイチ　ＡＤＳ－４５７０Ｓ　　　　　　　　　　　　　　　　　</t>
  </si>
  <si>
    <t>ダイチ　ＡＤＳ－４８７０Ｓ　　　　　　　　　　　　　　　　　</t>
  </si>
  <si>
    <t>ヤマザキ　２８０Φ　Ｈ７００　　ＹＤ－１１Ｃ－ＳＡ　　　　　</t>
  </si>
  <si>
    <t>ヤマザキ　ＤＳ－０８Ｌ－１１　　　　　　　　　　　　　　　　</t>
  </si>
  <si>
    <t>灰皿付　　　　　　　　　　　　　　　　　　　　　　　　　　　</t>
  </si>
  <si>
    <t>電気掃じ機　　　　　　　　　　　　　　　</t>
  </si>
  <si>
    <t>ナショナル　　　　　　　　　　　　　　　　　　　　　　　　　</t>
  </si>
  <si>
    <t>ナショナル　ＭＣ－Ｇ４１０　　白鳥ホール用　　　　　　　　　</t>
  </si>
  <si>
    <t>バキュームクリーナー　ヤマザキ型ＣＶＣ－３５０　　　　　　　</t>
  </si>
  <si>
    <t>集じん機　　　　　　　　　　　　　　　　</t>
  </si>
  <si>
    <t>マキタ　４０４　　　　　　　　　　　　　　　　　　　　　　　</t>
  </si>
  <si>
    <t>音楽台　　　　　　　　　　　　　　　　　</t>
  </si>
  <si>
    <t>指揮者台　９０９＊１２１２＊３０３　　　　　　　　　　　　　</t>
  </si>
  <si>
    <t>楽器台　　　　　　　　　　　　　　　　　</t>
  </si>
  <si>
    <t>太鼓台　　　　　　　　　　　　　　　　　　　　　　　　　　　</t>
  </si>
  <si>
    <t>アップライトピアノ　　　　　　　　　　　　　　　　　　　　　</t>
  </si>
  <si>
    <t>ピアノいす　　　　　　　　　　　　　　　</t>
  </si>
  <si>
    <t>ヤマハＮＯ．５　　　　　　　　　　　　　　　　　　　　　　　</t>
  </si>
  <si>
    <t>譜面台　　　　　　　　　　　　　　　　　</t>
  </si>
  <si>
    <t>中管製　ＣＭＳ－１　　　　　　　　　　　　　　　　　　　　　</t>
  </si>
  <si>
    <t>ＣＤ１０４　　　　　　　　　　　　　　　　　　　　　　　　　</t>
  </si>
  <si>
    <t>テント　　　　　　　　　　　　　　　　　</t>
  </si>
  <si>
    <t>プラスＢ型　６４－８６６　　　　　　　　　　　　　　　　　　</t>
  </si>
  <si>
    <t>踏台　　　　　　　　　　　　　　　　　　</t>
  </si>
  <si>
    <t>プラス３型　０９－８３０　　　　　　　　　　　　　　　　　　</t>
  </si>
  <si>
    <t>サインスタンド　　　　　　　　　　　　　　　　　　　　　　　</t>
  </si>
  <si>
    <t>更衣台　　　　　　　　　　　　　　　　　</t>
  </si>
  <si>
    <t>トイレ用おむつ替台　コンビチャチャエンジェルシートＴＣ－ＲＩ</t>
  </si>
  <si>
    <t>移動ボックス　　　　　　　　　　　　　　</t>
  </si>
  <si>
    <t>移動式更衣室　　Ｗ８５０＊Ｄ９００＊Ｈ１８４０　　　　　　　</t>
  </si>
  <si>
    <t xml:space="preserve">運搬車                                  </t>
  </si>
  <si>
    <t>手押車　７９０ｘ１３１０ｘ８８０　　　　　　　　　　　　　　</t>
  </si>
  <si>
    <t>台車　　　　　　　　　　　　　　　　　　　　　　　　　　　　</t>
  </si>
  <si>
    <t>グランドピアノ運搬車　　　　　　　　　　　　　　　　　　　　</t>
  </si>
  <si>
    <t>所作台運搬車　９０９　ｘ　３６３６　　　　　　　　　　　　　</t>
  </si>
  <si>
    <t>平台運搬車　１２１２　ｘ　１８１８　　　　　　　　　　　　　</t>
  </si>
  <si>
    <t>平台運搬車　１８１８　ｘ　１８１８　　　　　　　　　　　　　</t>
  </si>
  <si>
    <t>平台運搬車　９０９　ｘ　１８１８　　　　　　　　　　　　　　</t>
  </si>
  <si>
    <t>台車ドーリー　　　　　　　　　　　　　　　　　　　　　　　　</t>
  </si>
  <si>
    <t>台車（折りたたみいす運搬用）　　　　　　　　　　　　　　　　</t>
  </si>
  <si>
    <t>テーブル台車　　　　　　　　　　　　　　　　　　　　　　　　</t>
  </si>
  <si>
    <t>折りたたみテーブル用たて積　コクヨ　　　　　　　　　　　　　</t>
  </si>
  <si>
    <t>譜面整理台車　　　　　　　　　　　　　　　　　　　　　　　　</t>
  </si>
  <si>
    <t>長卓子の運搬車　　　　　　　　　　　　　　　　　　　　　　　</t>
  </si>
  <si>
    <t>長卓子の運搬車　アイチ　６００用　　　　　　　　　　　　　　</t>
  </si>
  <si>
    <t>イトーキ　ＷＣＴ－３０２Ｂ　　　　　　　　　　　　　　　　　</t>
  </si>
  <si>
    <t>愛知製客席運搬用台車　　　　　　　　　　　　　　　　　　　　</t>
  </si>
  <si>
    <t>イトーキ　ＬＣＥ－１５１　台車　　　　　　　　　　　　　　　</t>
  </si>
  <si>
    <t>舞台　　　　　　　　　　　　　　　　　　</t>
  </si>
  <si>
    <t>ポータブルステージ　　　　　　　　　　　　　　　　　　　　　</t>
  </si>
  <si>
    <t>舞台　　　　　　　　　　　　　　　　　　　　　　　　　　　　</t>
  </si>
  <si>
    <t>プラスＰＢ－１３００Ｂ　６９－０３１　　　　　　　　　　　　</t>
  </si>
  <si>
    <t>プラスＰＢ－４８０　６９－０５９　　　　　　　　　　　　　　</t>
  </si>
  <si>
    <t>ポータブルステージ　２４００　ｘ　１２００　ｘ　４００　６０</t>
  </si>
  <si>
    <t>ポータブルステージスラップ　９００　ｘ　５００　ｘ　４００　</t>
  </si>
  <si>
    <t>ポータブルステージスラップ　９００　ｘ　７５０　ｘ　６００　</t>
  </si>
  <si>
    <t>ポータブルステージ　Ｈ４００－６００　オカムラＬ９０５ＣＷ－</t>
  </si>
  <si>
    <t>ＩＴＯ型　６５０Ｗ　　　　　　　　　　　　　　　　　　　　　</t>
  </si>
  <si>
    <t>アッパーホリゾントライト４回路用　ＮＱ３６０７２ＷＺ　　　　</t>
  </si>
  <si>
    <t>ロアーホリゾントライト４回路用　ＮＱ３７０７２ＷＺ　　　　　</t>
  </si>
  <si>
    <t>三脚三段スタンド　ＮＫ３２１２３　　　　　　　　　　　　　　</t>
  </si>
  <si>
    <t>松下電工ＮＱ３０６３１ＳＺ　パーライト（Ｎ）　灯体指定色（白</t>
  </si>
  <si>
    <t>松下電工ＮＱ３０６３１ＳＺ　パーライト（Ｍ）　灯体指定色（白</t>
  </si>
  <si>
    <t>ＲＤＳ　ＭＣＢ－Ｌ　　　　　　　　　　　　　　　　　　　　　</t>
  </si>
  <si>
    <t>舞台道具　　　　　　　　　　　　　　　　</t>
  </si>
  <si>
    <t>Ｗ１２００　＊　Ｈ４００　　　　　　　　　　　　　　　　　　</t>
  </si>
  <si>
    <t>Ｗ１２００　＊　Ｈ６００　　　　　　　　　　　　　　　　　　</t>
  </si>
  <si>
    <t>オーケストラひな段ヶ込み　　　　　　　　　　　　　　　　　　</t>
  </si>
  <si>
    <t>オーケストラひな段用階段　１２４２＊４２４＊４００　　　　　</t>
  </si>
  <si>
    <t>オーケストラひな段用階段　１８４８＊６３６＊６６０　　　　　</t>
  </si>
  <si>
    <t>ひな段用変形組足　１２１２＊５１５　　　　　　　　　　　　　</t>
  </si>
  <si>
    <t>ひな段用変形組足　１８００＊７２７　　　　　　　　　　　　　</t>
  </si>
  <si>
    <t>引枠ワゴン　１８１８＊１８１８　　　　　　　　　　　　　　　</t>
  </si>
  <si>
    <t>引枠ワゴン　１８１８＊９０９　　　　　　　　　　　　　　　　</t>
  </si>
  <si>
    <t>化粧　１８１８＊１４２　　　　　　　　　　　　　　　　　　　</t>
  </si>
  <si>
    <t>化粧　３６３６＊１４２　　　　　　　　　　　　　　　　　　　</t>
  </si>
  <si>
    <t>化粧＜花道用変形＞９０９＊１４２　　　　　　　　　　　　　　</t>
  </si>
  <si>
    <t>花道仮設鳥屋囲　Ｈ＝２４００　　　　　　　　　　　　　　　　</t>
  </si>
  <si>
    <t>開丁場１０６０＊９０９＊１２１　　　　　　　　　　　　　　　</t>
  </si>
  <si>
    <t>所作台　９０９＊３６３６＊１２１　　　　　　　　　　　　　　</t>
  </si>
  <si>
    <t>所作台＜花道用＞　１２１２＊２７２７＊１２１　　　　　　　　</t>
  </si>
  <si>
    <t>所作台＜花道用変形＞　１２１２＊３４００＊１２１　　　　　　</t>
  </si>
  <si>
    <t>所作台＜小迫り後用＞　７２５＊３６４８＊１２１　　　　　　　</t>
  </si>
  <si>
    <t>所作台＜小迫り前用＞　９０９＊２５９６＊１２１　　　　　　　</t>
  </si>
  <si>
    <t>所作台＜小迫り横前用＞　９０９＊３６３６＊１２１　　　　　　</t>
  </si>
  <si>
    <t>所作台＜小迫り用＞　１８１８＊２１２１＊１２１　　　　　　　</t>
  </si>
  <si>
    <t>松羽目　１５４５０＊４５４５　　　　　　　　　　　　　　　　</t>
  </si>
  <si>
    <t>振り落し装置（振り竹）Ｌ＝２２０００　　　　　　　　　　　　</t>
  </si>
  <si>
    <t>地がすり　９０００＊２００００　　　　　　　　　　　　　　　</t>
  </si>
  <si>
    <t>竹羽目（上手、下手）７２７２＊４５４５　　　　　　　　　　　</t>
  </si>
  <si>
    <t>平台　１２１２＊１８１８＊１２１　　　　　　　　　　　　　　</t>
  </si>
  <si>
    <t>平台　１２１２＊２７２７＊１２１　　　　　　　　　　　　　　</t>
  </si>
  <si>
    <t>平台　６０６＊１８１８＊１２１　　　　　　　　　　　　　　　</t>
  </si>
  <si>
    <t>平台　９０９＊１８１８＊１２１　　　　　　　　　　　　　　　</t>
  </si>
  <si>
    <t>平台　９０９＊２７２７＊１２１　　　　　　　　　　　　　　　</t>
  </si>
  <si>
    <t>平台＜ひな段用変形＞　１２１２＊１４４０＊１２１　　　　　　</t>
  </si>
  <si>
    <t>平台＜ひな段用変形＞　１２１２＊１７９０＊１２１　　　　　　</t>
  </si>
  <si>
    <t>平台＜ひな段用変形＞　１２１２＊２３００＊１２１　　　　　　</t>
  </si>
  <si>
    <t>平台＜ひな段用変形＞　１２１２＊９４０＊１２１　　　　　　　</t>
  </si>
  <si>
    <t>平台＜ひな段用変形＞　１８００＊１９００＊１２１　　　　　　</t>
  </si>
  <si>
    <t>平台＜ひな段用変形＞　１８１８＊１３００＊１２１　　　　　　</t>
  </si>
  <si>
    <t>操作卓用仮設台（音響用）　　　　　　　　　　　　　　　　　　</t>
  </si>
  <si>
    <t>操作卓用仮設台（照明用）　　　　　　　　　　　　　　　　　　</t>
  </si>
  <si>
    <t>照明コード掛　　　　　　　　　　　　　　　　　　　　　　　　</t>
  </si>
  <si>
    <t>平台　６０６　ｘ　１８１８　　　　　　　　　　　　　　　　　</t>
  </si>
  <si>
    <t>司会者台　　　　　　　　　　　　　　　　　　　　　　　　　　</t>
  </si>
  <si>
    <t>平台　　　　　　　　　　　　　　　　　　　　　　　　　　　　</t>
  </si>
  <si>
    <t>平台用台車　　　　　　　　　　　　　　　　　　　　　　　　　</t>
  </si>
  <si>
    <t>平台用階段　　　　　　　　　　　　　　　　　　　　　　　　　</t>
  </si>
  <si>
    <t>迫り用階段　　　　　　　　　　　　　　　　　　　　　　　　　</t>
  </si>
  <si>
    <t>開丁場　　　　　　　　　　　　　　　　　　　　　　　　　　　</t>
  </si>
  <si>
    <t>昇降スロープ　　　　　　　　　　　　　　</t>
  </si>
  <si>
    <t>センチュリーホール用　身障者用階段　　　　　　　　　　　　　</t>
  </si>
  <si>
    <t>アクア、水　　　　　　　　　　　　　　　　　　　　　　　　　</t>
  </si>
  <si>
    <t xml:space="preserve">個      </t>
  </si>
  <si>
    <t xml:space="preserve">モノブロックススクリーン　ＭＢＦ－２１０                    </t>
  </si>
  <si>
    <t xml:space="preserve">枚      </t>
  </si>
  <si>
    <t>ルームクーラー　　　　　　　　　　　　　</t>
  </si>
  <si>
    <t xml:space="preserve">ダイキン製ジアス壁掛型ＳＺＹＡ４０ＢＢＶ                    </t>
  </si>
  <si>
    <t xml:space="preserve">ダイキン製壁掛型Ｓ２２ＭＴＥＳ－Ｗ                          </t>
  </si>
  <si>
    <t xml:space="preserve">コンドルＣＶＣ－１０８ＷＤ                                  </t>
  </si>
  <si>
    <t xml:space="preserve">ＳＨＡＲＰ１９インチ液晶ＴＶ                                </t>
  </si>
  <si>
    <t>ディスク装置　　　　　　　　　　　　　　</t>
  </si>
  <si>
    <t xml:space="preserve">ＨＰ　Ｐｒｏｌｉａｎｔ　Ｓｅｒｖｅｒ　ＭＬ１１０Ｇ７        </t>
  </si>
  <si>
    <t xml:space="preserve">サーバー、ＵＰＳ                                            </t>
  </si>
  <si>
    <t xml:space="preserve">三つ折、ポリ化粧合板                                        </t>
  </si>
  <si>
    <t>投影機　　　　　　　　　　　　　　　　　</t>
  </si>
  <si>
    <t xml:space="preserve">三菱電機、４５００１ｍ                                      </t>
  </si>
  <si>
    <t xml:space="preserve">コンビ、おむつ交換台                                        </t>
  </si>
  <si>
    <t xml:space="preserve">コンビ、授乳用イス　Ｗ６１３×Ｄ５５５×Ｈ７００            </t>
  </si>
  <si>
    <t xml:space="preserve">コンビ、サイドテーブル　Ｗ６００×Ｄ３５０×Ｈ４５０        </t>
  </si>
  <si>
    <t xml:space="preserve">モノブロックススクリーン　ＭＢＦ－１５０                    </t>
  </si>
  <si>
    <t>テーブル　　　　　　　　　　　　　　　　</t>
  </si>
  <si>
    <t xml:space="preserve">内田洋行製サイドスタックテーブル                            </t>
  </si>
  <si>
    <t xml:space="preserve">Ｈ１８２０×Ｗ１２１０×Ｄ５５５                            </t>
  </si>
  <si>
    <t xml:space="preserve">会議室前                                                    </t>
  </si>
  <si>
    <t xml:space="preserve">両面回転・ＲＭ－１１Ｔ                                      </t>
  </si>
  <si>
    <t>収納整理用ラック　　　　　　　　　　　　</t>
  </si>
  <si>
    <t xml:space="preserve">サーバーラック（１９インチ）                                </t>
  </si>
  <si>
    <t xml:space="preserve">ＤＬＰ８２００ＬＭ／ＸＧＡ４：３                            </t>
  </si>
  <si>
    <t xml:space="preserve">機      </t>
  </si>
  <si>
    <t xml:space="preserve">プロジェクター専用ズームレンズ                              </t>
  </si>
  <si>
    <t xml:space="preserve">プロジェクター専用超焦点ズームレンズ                        </t>
  </si>
  <si>
    <t xml:space="preserve">ＩＴＯＫＩ　ＴＢ－６２０１－Ｎ－Ｗ６　６００×１８００      </t>
  </si>
  <si>
    <t>裁断機　　　　　　　　　　　　　　　　　</t>
  </si>
  <si>
    <t xml:space="preserve">ＭＳＶ－Ｆ３１ＣＦ                                          </t>
  </si>
  <si>
    <t xml:space="preserve">サーバー　ＭＬ３１０ｅ　Ｇｅｎ８　ｖ２　ＨＰ　４ＬＦＦ      </t>
  </si>
  <si>
    <t xml:space="preserve">パレットトラック                                            </t>
  </si>
  <si>
    <t>数量</t>
    <rPh sb="0" eb="2">
      <t>スウリョウ</t>
    </rPh>
    <phoneticPr fontId="18"/>
  </si>
  <si>
    <t>受入年月日</t>
    <rPh sb="2" eb="3">
      <t>ネン</t>
    </rPh>
    <rPh sb="3" eb="4">
      <t>ガツ</t>
    </rPh>
    <rPh sb="4" eb="5">
      <t>ヒ</t>
    </rPh>
    <phoneticPr fontId="18"/>
  </si>
  <si>
    <t>旧備品番号</t>
    <phoneticPr fontId="18"/>
  </si>
  <si>
    <t>価格</t>
    <rPh sb="0" eb="2">
      <t>カカク</t>
    </rPh>
    <phoneticPr fontId="18"/>
  </si>
  <si>
    <t>NO.</t>
    <phoneticPr fontId="18"/>
  </si>
  <si>
    <t>映写機</t>
    <rPh sb="0" eb="3">
      <t>エイシャキ</t>
    </rPh>
    <phoneticPr fontId="18"/>
  </si>
  <si>
    <t>平成27年3月12日にリスト追加</t>
    <rPh sb="0" eb="2">
      <t>ヘイセイ</t>
    </rPh>
    <rPh sb="4" eb="5">
      <t>ネン</t>
    </rPh>
    <rPh sb="6" eb="7">
      <t>ガツ</t>
    </rPh>
    <rPh sb="9" eb="10">
      <t>ヒ</t>
    </rPh>
    <rPh sb="14" eb="16">
      <t>ツイカ</t>
    </rPh>
    <phoneticPr fontId="18"/>
  </si>
  <si>
    <t>個　　　</t>
    <phoneticPr fontId="18"/>
  </si>
  <si>
    <t>プロジェクター　パナソニック　PT-DX820　JLB</t>
    <phoneticPr fontId="18"/>
  </si>
  <si>
    <t>00892672</t>
    <phoneticPr fontId="18"/>
  </si>
  <si>
    <t>平成28年3月31日に追加</t>
    <rPh sb="0" eb="2">
      <t>ヘイセイ</t>
    </rPh>
    <rPh sb="4" eb="5">
      <t>ネン</t>
    </rPh>
    <rPh sb="6" eb="7">
      <t>ガツ</t>
    </rPh>
    <rPh sb="9" eb="10">
      <t>ヒ</t>
    </rPh>
    <rPh sb="11" eb="13">
      <t>ツイカ</t>
    </rPh>
    <phoneticPr fontId="18"/>
  </si>
  <si>
    <t>交換レンズ　　　　　　　　　　　　　　　</t>
    <rPh sb="0" eb="2">
      <t>コウカン</t>
    </rPh>
    <phoneticPr fontId="18"/>
  </si>
  <si>
    <t>パナソニック　ET-DLE085</t>
    <phoneticPr fontId="18"/>
  </si>
  <si>
    <t>00892673</t>
    <phoneticPr fontId="18"/>
  </si>
  <si>
    <t>00897125</t>
    <phoneticPr fontId="18"/>
  </si>
  <si>
    <t>平成28年6月30日に追加</t>
    <rPh sb="0" eb="2">
      <t>ヘイセイ</t>
    </rPh>
    <rPh sb="4" eb="5">
      <t>ネン</t>
    </rPh>
    <rPh sb="6" eb="7">
      <t>ガツ</t>
    </rPh>
    <rPh sb="9" eb="10">
      <t>ヒ</t>
    </rPh>
    <rPh sb="11" eb="13">
      <t>ツイカ</t>
    </rPh>
    <phoneticPr fontId="18"/>
  </si>
  <si>
    <t>00897126</t>
    <phoneticPr fontId="18"/>
  </si>
  <si>
    <t>交換レンズ</t>
    <rPh sb="0" eb="2">
      <t>コウカン</t>
    </rPh>
    <phoneticPr fontId="18"/>
  </si>
  <si>
    <t>00897127</t>
    <phoneticPr fontId="18"/>
  </si>
  <si>
    <t>00897128</t>
    <phoneticPr fontId="18"/>
  </si>
  <si>
    <t>パナソニック PT-DX610S</t>
    <phoneticPr fontId="18"/>
  </si>
  <si>
    <t>00858549</t>
    <phoneticPr fontId="18"/>
  </si>
  <si>
    <t>パナソニック PT-DX820JLB</t>
    <phoneticPr fontId="18"/>
  </si>
  <si>
    <t>パナソニック ET-DLE085</t>
    <phoneticPr fontId="18"/>
  </si>
  <si>
    <t>パナソニック ET-DLE350</t>
    <phoneticPr fontId="18"/>
  </si>
  <si>
    <t>返還済</t>
    <rPh sb="0" eb="2">
      <t>ヘンカン</t>
    </rPh>
    <rPh sb="2" eb="3">
      <t>スミ</t>
    </rPh>
    <phoneticPr fontId="18"/>
  </si>
  <si>
    <t>ダストボックス　　　　　　　　　　　　　</t>
    <phoneticPr fontId="18"/>
  </si>
  <si>
    <t>ヤマザキ　ＤＳ－０８Ｌ－１１　　　　　　　　　　　　　　　　</t>
    <phoneticPr fontId="18"/>
  </si>
  <si>
    <t>灰皿付　　　　　　　　　　　　　　　　　　　　　　　　　　　</t>
    <phoneticPr fontId="18"/>
  </si>
  <si>
    <t>2017年度に返還</t>
    <rPh sb="4" eb="5">
      <t>ネン</t>
    </rPh>
    <rPh sb="5" eb="6">
      <t>ド</t>
    </rPh>
    <rPh sb="7" eb="9">
      <t>ヘンカン</t>
    </rPh>
    <phoneticPr fontId="18"/>
  </si>
  <si>
    <t>2017年度に返還</t>
    <phoneticPr fontId="18"/>
  </si>
  <si>
    <t>2019年5月　廃棄</t>
    <rPh sb="4" eb="5">
      <t>ネン</t>
    </rPh>
    <rPh sb="6" eb="7">
      <t>ガツ</t>
    </rPh>
    <rPh sb="8" eb="10">
      <t>ハイキ</t>
    </rPh>
    <phoneticPr fontId="18"/>
  </si>
  <si>
    <t>品名</t>
    <phoneticPr fontId="18"/>
  </si>
  <si>
    <t>日付</t>
    <rPh sb="0" eb="2">
      <t>ヒヅケ</t>
    </rPh>
    <phoneticPr fontId="18"/>
  </si>
  <si>
    <t>ＴＯＭＯＣＡ　ＴＮＢ－６１２－１２２（付属品）トランス分岐BOX</t>
    <rPh sb="27" eb="29">
      <t>ブンキ</t>
    </rPh>
    <phoneticPr fontId="18"/>
  </si>
  <si>
    <t>ＴＯＭＯＣＡ　ＴＮＢ－６１２－１２２（付属品）トランス分岐BOX　　　　　　　</t>
    <rPh sb="27" eb="29">
      <t>ブンキ</t>
    </rPh>
    <phoneticPr fontId="18"/>
  </si>
  <si>
    <t>カナレ８Ｊ１２Ｎ１２（付属品）マルチBOX　　　　　　　　　　　　　　　</t>
    <phoneticPr fontId="18"/>
  </si>
  <si>
    <t xml:space="preserve">モノブロックススクリーン　ＭＢＦ－２１０                    </t>
    <phoneticPr fontId="18"/>
  </si>
  <si>
    <t>イトーキＴＢ－６２０１Ｎ－Ｗ６　　　　　　　　　　　　　　　</t>
    <phoneticPr fontId="18"/>
  </si>
  <si>
    <t>竣工時から平成12年3月31日までの合計</t>
    <rPh sb="0" eb="3">
      <t>シュンコウジ</t>
    </rPh>
    <rPh sb="5" eb="7">
      <t>ヘイセイ</t>
    </rPh>
    <rPh sb="9" eb="10">
      <t>ネン</t>
    </rPh>
    <rPh sb="11" eb="12">
      <t>ガツ</t>
    </rPh>
    <rPh sb="14" eb="15">
      <t>ニチ</t>
    </rPh>
    <rPh sb="18" eb="20">
      <t>ゴウケイ</t>
    </rPh>
    <phoneticPr fontId="18"/>
  </si>
  <si>
    <t>平成12年4月1日から平成17年3月31日までの合計</t>
    <rPh sb="0" eb="2">
      <t>ヘイセイ</t>
    </rPh>
    <rPh sb="4" eb="5">
      <t>ネン</t>
    </rPh>
    <rPh sb="6" eb="7">
      <t>ガツ</t>
    </rPh>
    <rPh sb="8" eb="9">
      <t>ニチ</t>
    </rPh>
    <rPh sb="11" eb="13">
      <t>ヘイセイ</t>
    </rPh>
    <rPh sb="15" eb="16">
      <t>ネン</t>
    </rPh>
    <rPh sb="17" eb="18">
      <t>ガツ</t>
    </rPh>
    <rPh sb="20" eb="21">
      <t>ニチ</t>
    </rPh>
    <rPh sb="24" eb="26">
      <t>ゴウケイ</t>
    </rPh>
    <phoneticPr fontId="18"/>
  </si>
  <si>
    <t>平成17年4月1日から令和2年3月31日までの合計</t>
    <rPh sb="0" eb="2">
      <t>ヘイセイ</t>
    </rPh>
    <rPh sb="4" eb="5">
      <t>ネン</t>
    </rPh>
    <rPh sb="6" eb="7">
      <t>ガツ</t>
    </rPh>
    <rPh sb="8" eb="9">
      <t>ニチ</t>
    </rPh>
    <rPh sb="11" eb="13">
      <t>レイワ</t>
    </rPh>
    <rPh sb="14" eb="15">
      <t>ネン</t>
    </rPh>
    <rPh sb="15" eb="16">
      <t>ヘイネン</t>
    </rPh>
    <rPh sb="16" eb="17">
      <t>ガツ</t>
    </rPh>
    <rPh sb="19" eb="20">
      <t>ニチ</t>
    </rPh>
    <rPh sb="23" eb="25">
      <t>ゴウケイ</t>
    </rPh>
    <phoneticPr fontId="18"/>
  </si>
  <si>
    <t>竣工時から平成17年3月31日までの合計</t>
    <rPh sb="0" eb="3">
      <t>シュンコウジ</t>
    </rPh>
    <rPh sb="5" eb="7">
      <t>ヘイセイ</t>
    </rPh>
    <rPh sb="9" eb="10">
      <t>ネン</t>
    </rPh>
    <rPh sb="11" eb="12">
      <t>ガツ</t>
    </rPh>
    <rPh sb="14" eb="15">
      <t>ニチ</t>
    </rPh>
    <rPh sb="18" eb="20">
      <t>ゴウケイ</t>
    </rPh>
    <phoneticPr fontId="18"/>
  </si>
  <si>
    <t>　なお、本リストで更新対象となっていないものでも、設計時点で劣化が激しく更新が必要なものは更新するものとする。</t>
    <rPh sb="4" eb="5">
      <t>ホン</t>
    </rPh>
    <rPh sb="9" eb="13">
      <t>コウシンタイショウ</t>
    </rPh>
    <rPh sb="25" eb="27">
      <t>セッケイ</t>
    </rPh>
    <rPh sb="27" eb="28">
      <t>ジ</t>
    </rPh>
    <rPh sb="28" eb="29">
      <t>テン</t>
    </rPh>
    <rPh sb="30" eb="32">
      <t>レッカ</t>
    </rPh>
    <rPh sb="33" eb="34">
      <t>ハゲ</t>
    </rPh>
    <rPh sb="36" eb="38">
      <t>コウシン</t>
    </rPh>
    <rPh sb="39" eb="41">
      <t>ヒツヨウ</t>
    </rPh>
    <rPh sb="45" eb="47">
      <t>コウシン</t>
    </rPh>
    <phoneticPr fontId="18"/>
  </si>
  <si>
    <t>　設計の際に、実際の備品類を確認し、劣化状況により更新するもの、更新しなくても良いと思われるものを整理する。</t>
    <rPh sb="7" eb="9">
      <t>ジッサイ</t>
    </rPh>
    <rPh sb="10" eb="12">
      <t>ビヒン</t>
    </rPh>
    <rPh sb="12" eb="13">
      <t>ルイ</t>
    </rPh>
    <rPh sb="14" eb="16">
      <t>カクニン</t>
    </rPh>
    <rPh sb="18" eb="20">
      <t>レッカ</t>
    </rPh>
    <rPh sb="20" eb="22">
      <t>ジョウキョウ</t>
    </rPh>
    <rPh sb="25" eb="27">
      <t>コウシン</t>
    </rPh>
    <rPh sb="32" eb="34">
      <t>コウシン</t>
    </rPh>
    <rPh sb="39" eb="40">
      <t>ヨ</t>
    </rPh>
    <rPh sb="42" eb="43">
      <t>オモ</t>
    </rPh>
    <rPh sb="49" eb="51">
      <t>セイリ</t>
    </rPh>
    <phoneticPr fontId="18"/>
  </si>
  <si>
    <t>　設計時の整理の際に、更新対象であるが状態が良く、更新不要と思われるものについては、協議の上、合意が得られた場合には更新しないことも可能とする。</t>
    <rPh sb="1" eb="3">
      <t>セッケイ</t>
    </rPh>
    <rPh sb="3" eb="4">
      <t>ジ</t>
    </rPh>
    <rPh sb="5" eb="7">
      <t>セイリ</t>
    </rPh>
    <rPh sb="8" eb="9">
      <t>サイ</t>
    </rPh>
    <rPh sb="11" eb="13">
      <t>コウシン</t>
    </rPh>
    <rPh sb="13" eb="15">
      <t>タイショウ</t>
    </rPh>
    <rPh sb="19" eb="21">
      <t>ジョウタイ</t>
    </rPh>
    <rPh sb="22" eb="23">
      <t>ヨ</t>
    </rPh>
    <rPh sb="25" eb="27">
      <t>コウシン</t>
    </rPh>
    <rPh sb="27" eb="29">
      <t>フヨウ</t>
    </rPh>
    <rPh sb="30" eb="31">
      <t>オモ</t>
    </rPh>
    <rPh sb="42" eb="44">
      <t>キョウギ</t>
    </rPh>
    <rPh sb="45" eb="46">
      <t>ウエ</t>
    </rPh>
    <rPh sb="47" eb="49">
      <t>ゴウイ</t>
    </rPh>
    <rPh sb="50" eb="51">
      <t>エ</t>
    </rPh>
    <rPh sb="54" eb="56">
      <t>バアイ</t>
    </rPh>
    <rPh sb="58" eb="60">
      <t>コウシン</t>
    </rPh>
    <rPh sb="66" eb="68">
      <t>カノウ</t>
    </rPh>
    <phoneticPr fontId="18"/>
  </si>
  <si>
    <t>音響備品に計上</t>
    <rPh sb="0" eb="2">
      <t>オンキョウ</t>
    </rPh>
    <rPh sb="2" eb="4">
      <t>ビヒン</t>
    </rPh>
    <rPh sb="5" eb="7">
      <t>ケイジョウ</t>
    </rPh>
    <phoneticPr fontId="18"/>
  </si>
  <si>
    <t>更新不要</t>
    <rPh sb="0" eb="2">
      <t>コウシン</t>
    </rPh>
    <rPh sb="2" eb="4">
      <t>フヨウ</t>
    </rPh>
    <phoneticPr fontId="18"/>
  </si>
  <si>
    <t>音響備品に計上</t>
    <rPh sb="0" eb="4">
      <t>オンキョウビヒン</t>
    </rPh>
    <rPh sb="5" eb="7">
      <t>ケイジョウ</t>
    </rPh>
    <phoneticPr fontId="18"/>
  </si>
  <si>
    <t>照明備品に計上</t>
    <rPh sb="0" eb="2">
      <t>ショウメイ</t>
    </rPh>
    <rPh sb="2" eb="4">
      <t>ビヒン</t>
    </rPh>
    <rPh sb="5" eb="7">
      <t>ケイジョウ</t>
    </rPh>
    <phoneticPr fontId="18"/>
  </si>
  <si>
    <t>照明備品に計上</t>
    <rPh sb="0" eb="4">
      <t>ショウメイビヒン</t>
    </rPh>
    <rPh sb="5" eb="7">
      <t>ケイジョウ</t>
    </rPh>
    <phoneticPr fontId="18"/>
  </si>
  <si>
    <t>更新不要</t>
    <rPh sb="0" eb="4">
      <t>コウシンフヨウ</t>
    </rPh>
    <phoneticPr fontId="18"/>
  </si>
  <si>
    <t>竣工時から最近までの購入備品で更新が必要なものの時価合計</t>
    <rPh sb="0" eb="3">
      <t>シュンコウジ</t>
    </rPh>
    <rPh sb="5" eb="7">
      <t>サイキン</t>
    </rPh>
    <rPh sb="10" eb="12">
      <t>コウニュウ</t>
    </rPh>
    <rPh sb="12" eb="14">
      <t>ビヒン</t>
    </rPh>
    <rPh sb="15" eb="17">
      <t>コウシン</t>
    </rPh>
    <rPh sb="18" eb="20">
      <t>ヒツヨウ</t>
    </rPh>
    <rPh sb="24" eb="26">
      <t>ジカ</t>
    </rPh>
    <rPh sb="26" eb="28">
      <t>ゴウケイ</t>
    </rPh>
    <phoneticPr fontId="18"/>
  </si>
  <si>
    <t>オーバーホールとする</t>
    <phoneticPr fontId="18"/>
  </si>
  <si>
    <t>映像備品に計上</t>
    <rPh sb="0" eb="2">
      <t>エイゾウ</t>
    </rPh>
    <rPh sb="2" eb="4">
      <t>ビヒン</t>
    </rPh>
    <rPh sb="5" eb="7">
      <t>ケイジョウ</t>
    </rPh>
    <phoneticPr fontId="18"/>
  </si>
  <si>
    <t>電気設備に計上</t>
    <rPh sb="0" eb="2">
      <t>デンキ</t>
    </rPh>
    <rPh sb="2" eb="4">
      <t>セツビ</t>
    </rPh>
    <rPh sb="5" eb="7">
      <t>ケイジョウ</t>
    </rPh>
    <phoneticPr fontId="18"/>
  </si>
  <si>
    <t>国際会議室リヤプロジェクター(スクリーン、ミラーとも)</t>
    <rPh sb="0" eb="2">
      <t>コクサイ</t>
    </rPh>
    <rPh sb="2" eb="5">
      <t>カイギシツ</t>
    </rPh>
    <phoneticPr fontId="18"/>
  </si>
  <si>
    <t>オーブン</t>
    <phoneticPr fontId="18"/>
  </si>
  <si>
    <t>フジマックＦＣＣＭＰ２０１Ｅ　ロールインカート・浄軟水器付（</t>
    <phoneticPr fontId="18"/>
  </si>
  <si>
    <t>台</t>
    <phoneticPr fontId="18"/>
  </si>
  <si>
    <t>拡声装置</t>
    <rPh sb="0" eb="2">
      <t>カクセイ</t>
    </rPh>
    <rPh sb="2" eb="4">
      <t>ソウチ</t>
    </rPh>
    <phoneticPr fontId="18"/>
  </si>
  <si>
    <t>ポータブルワイヤレスアンプＷＸ－ＰＳ２００</t>
    <phoneticPr fontId="18"/>
  </si>
  <si>
    <t>ワイヤレスマイク</t>
    <phoneticPr fontId="18"/>
  </si>
  <si>
    <t>ポータブルワイヤレスマイクロホン　ハンド　ＷＸ－ＳＴ２００</t>
    <phoneticPr fontId="18"/>
  </si>
  <si>
    <t>本</t>
    <phoneticPr fontId="18"/>
  </si>
  <si>
    <t>ポータブルワイヤレスマイクロホン　タイピン　ＷＸ－ＳＴ４００</t>
    <phoneticPr fontId="18"/>
  </si>
  <si>
    <t>個</t>
    <phoneticPr fontId="18"/>
  </si>
  <si>
    <t>スクリーン</t>
    <phoneticPr fontId="18"/>
  </si>
  <si>
    <t>自立式スクリーンMBCF－150</t>
    <phoneticPr fontId="18"/>
  </si>
  <si>
    <t>サーマルカメラ</t>
    <phoneticPr fontId="18"/>
  </si>
  <si>
    <t>サーマルカメラハンディータイプDS-2TP31B-3AUF</t>
    <phoneticPr fontId="18"/>
  </si>
  <si>
    <t>更新価格
(税率補正無)</t>
    <rPh sb="0" eb="2">
      <t>コウシン</t>
    </rPh>
    <rPh sb="2" eb="4">
      <t>カカク</t>
    </rPh>
    <rPh sb="6" eb="10">
      <t>ゼイリツホセイ</t>
    </rPh>
    <rPh sb="10" eb="11">
      <t>ナ</t>
    </rPh>
    <phoneticPr fontId="18"/>
  </si>
  <si>
    <t>ワイヤレス受信機4波用　ULXD4Q-AB</t>
    <phoneticPr fontId="18"/>
  </si>
  <si>
    <t>ワイヤレス受信機2波用　ULXD4D-AB</t>
    <phoneticPr fontId="18"/>
  </si>
  <si>
    <t>ワイヤレスマイクロホン　ハンド　ULXD2/SM58-JB</t>
  </si>
  <si>
    <t>ワイヤレスマイクロホン　ハンド　ULXD2/SM58-JB</t>
    <phoneticPr fontId="18"/>
  </si>
  <si>
    <t>ワイヤレスマイク　タイピン　ULXD1-JB</t>
    <phoneticPr fontId="18"/>
  </si>
  <si>
    <t>ワイヤレスマイク　タイピン　MX150B/C-TQG</t>
    <phoneticPr fontId="18"/>
  </si>
  <si>
    <t>ヘッドセット　タイピン　TH53T/O-MTQG</t>
    <phoneticPr fontId="18"/>
  </si>
  <si>
    <t>ワイヤレス受信機</t>
    <rPh sb="5" eb="8">
      <t>ジュシンキ</t>
    </rPh>
    <phoneticPr fontId="18"/>
  </si>
  <si>
    <t>ワイヤレスマイク</t>
  </si>
  <si>
    <t>ワイヤレスマイク</t>
    <phoneticPr fontId="18"/>
  </si>
  <si>
    <t>平成17年4月1</t>
  </si>
  <si>
    <t>竣工時から最近ま</t>
  </si>
  <si>
    <t>ヘッドセット</t>
    <phoneticPr fontId="18"/>
  </si>
  <si>
    <t>台</t>
    <rPh sb="0" eb="1">
      <t>ダイ</t>
    </rPh>
    <phoneticPr fontId="18"/>
  </si>
  <si>
    <t>個</t>
    <rPh sb="0" eb="1">
      <t>コ</t>
    </rPh>
    <phoneticPr fontId="18"/>
  </si>
  <si>
    <t>1253950</t>
    <phoneticPr fontId="18"/>
  </si>
  <si>
    <t>1253951</t>
  </si>
  <si>
    <t>1253952</t>
  </si>
  <si>
    <t>1253953</t>
  </si>
  <si>
    <t>1253954</t>
  </si>
  <si>
    <t>1253955</t>
  </si>
  <si>
    <t>1253956</t>
  </si>
  <si>
    <t>1253957</t>
  </si>
  <si>
    <t>1253958</t>
  </si>
  <si>
    <t>1253959</t>
  </si>
  <si>
    <t>1253960</t>
  </si>
  <si>
    <t>1253961</t>
  </si>
  <si>
    <t>1253962</t>
  </si>
  <si>
    <t>1253963</t>
  </si>
  <si>
    <t>1253964</t>
  </si>
  <si>
    <t>1253965</t>
  </si>
  <si>
    <t>1253966</t>
  </si>
  <si>
    <t>1253967</t>
  </si>
  <si>
    <t>1253968</t>
  </si>
  <si>
    <t>1253969</t>
  </si>
  <si>
    <t>1253970</t>
  </si>
  <si>
    <t>1253971</t>
  </si>
  <si>
    <t>1253972</t>
  </si>
  <si>
    <t>1253973</t>
  </si>
  <si>
    <t>1253974</t>
  </si>
  <si>
    <t>1253975</t>
  </si>
  <si>
    <t>国際会議室</t>
    <rPh sb="0" eb="5">
      <t>コクサイカイギシツ</t>
    </rPh>
    <phoneticPr fontId="18"/>
  </si>
  <si>
    <t>センチュリーホール</t>
    <phoneticPr fontId="18"/>
  </si>
  <si>
    <t>白鳥ホール</t>
    <rPh sb="0" eb="2">
      <t>シラトリ</t>
    </rPh>
    <phoneticPr fontId="18"/>
  </si>
  <si>
    <t>1255294</t>
    <phoneticPr fontId="18"/>
  </si>
  <si>
    <t>1255295</t>
  </si>
  <si>
    <t>1255296</t>
  </si>
  <si>
    <t>1255297</t>
  </si>
  <si>
    <t>1255298</t>
  </si>
  <si>
    <t>1255299</t>
  </si>
  <si>
    <t>1255300</t>
  </si>
  <si>
    <t>1255301</t>
  </si>
  <si>
    <t>1255302</t>
  </si>
  <si>
    <t>1255303</t>
  </si>
  <si>
    <t>1255304</t>
  </si>
  <si>
    <t>1255305</t>
  </si>
  <si>
    <t>1255306</t>
  </si>
  <si>
    <t>1255307</t>
  </si>
  <si>
    <t>1255308</t>
  </si>
  <si>
    <t>1255309</t>
  </si>
  <si>
    <t>1255310</t>
  </si>
  <si>
    <t>1255311</t>
  </si>
  <si>
    <t>1255312</t>
  </si>
  <si>
    <t>1255313</t>
  </si>
  <si>
    <t>1255314</t>
  </si>
  <si>
    <t>1255315</t>
  </si>
  <si>
    <t>1255316</t>
  </si>
  <si>
    <t>1255317</t>
  </si>
  <si>
    <t>1255318</t>
  </si>
  <si>
    <t>1255319</t>
  </si>
  <si>
    <t>1255320</t>
  </si>
  <si>
    <t>1255321</t>
  </si>
  <si>
    <t>1255322</t>
  </si>
  <si>
    <t>1255323</t>
  </si>
  <si>
    <t>1255324</t>
  </si>
  <si>
    <t>1255325</t>
  </si>
  <si>
    <t>1255326</t>
  </si>
  <si>
    <t>1255327</t>
  </si>
  <si>
    <t>1255328</t>
  </si>
  <si>
    <t>1255329</t>
  </si>
  <si>
    <t>1255330</t>
  </si>
  <si>
    <t>1255331</t>
  </si>
  <si>
    <t>1255332</t>
  </si>
  <si>
    <t>1255333</t>
  </si>
  <si>
    <t>1255334</t>
  </si>
  <si>
    <t>1255335</t>
  </si>
  <si>
    <t>1255336</t>
  </si>
  <si>
    <t>1255337</t>
  </si>
  <si>
    <t>1255338</t>
  </si>
  <si>
    <t>1255339</t>
  </si>
  <si>
    <t>1255340</t>
  </si>
  <si>
    <t>1255341</t>
  </si>
  <si>
    <t>1255342</t>
  </si>
  <si>
    <t>1255343</t>
  </si>
  <si>
    <t>1255344</t>
  </si>
  <si>
    <t>1255345</t>
  </si>
  <si>
    <t>2021年度に廃棄</t>
    <phoneticPr fontId="18"/>
  </si>
  <si>
    <t xml:space="preserve">■以下の什器備品の更新は事業①で実施することとする。
</t>
    <rPh sb="1" eb="3">
      <t>イカ</t>
    </rPh>
    <rPh sb="4" eb="6">
      <t>ジュウキ</t>
    </rPh>
    <rPh sb="6" eb="8">
      <t>ビヒン</t>
    </rPh>
    <rPh sb="9" eb="11">
      <t>コウシン</t>
    </rPh>
    <rPh sb="12" eb="14">
      <t>ジギョウ</t>
    </rPh>
    <rPh sb="16" eb="18">
      <t>ジッシ</t>
    </rPh>
    <phoneticPr fontId="18"/>
  </si>
  <si>
    <t>別紙19　名古屋国際会議場　什器備品リスト（既存施設）</t>
    <rPh sb="0" eb="2">
      <t>ベッシ</t>
    </rPh>
    <rPh sb="5" eb="13">
      <t>ナゴヤコクサイカイギジョウ</t>
    </rPh>
    <rPh sb="14" eb="16">
      <t>ジュウキ</t>
    </rPh>
    <rPh sb="16" eb="18">
      <t>ビヒン</t>
    </rPh>
    <rPh sb="22" eb="24">
      <t>キソン</t>
    </rPh>
    <rPh sb="24" eb="26">
      <t>シセツ</t>
    </rPh>
    <phoneticPr fontId="18"/>
  </si>
  <si>
    <r>
      <t>■（青のセル）美術工芸品、どん帳は、更新の対象外とするものとし、取扱いについては</t>
    </r>
    <r>
      <rPr>
        <sz val="11"/>
        <color theme="1"/>
        <rFont val="ＭＳ Ｐゴシック"/>
        <family val="3"/>
        <charset val="128"/>
        <scheme val="minor"/>
      </rPr>
      <t>「別紙20 寄贈品等一覧」に</t>
    </r>
    <r>
      <rPr>
        <sz val="11"/>
        <rFont val="ＭＳ Ｐゴシック"/>
        <family val="3"/>
        <charset val="128"/>
        <scheme val="minor"/>
      </rPr>
      <t>示す。</t>
    </r>
    <rPh sb="18" eb="20">
      <t>コウシン</t>
    </rPh>
    <rPh sb="32" eb="34">
      <t>トリアツカ</t>
    </rPh>
    <rPh sb="41" eb="43">
      <t>ベッシ</t>
    </rPh>
    <rPh sb="46" eb="49">
      <t>キゾウヒン</t>
    </rPh>
    <rPh sb="49" eb="50">
      <t>ナド</t>
    </rPh>
    <rPh sb="50" eb="52">
      <t>イチラン</t>
    </rPh>
    <rPh sb="54" eb="55">
      <t>シメ</t>
    </rPh>
    <phoneticPr fontId="18"/>
  </si>
  <si>
    <t>■2026年(令和8年)4月1日時点において、原則として購入後20年以上経過するもの、及び20年を経過していなくても劣化が激しいものを更新対象とする。（太字のもの）</t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</si>
</sst>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4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6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12"/>
      <name val="ＭＳ Ｐゴシック"/>
      <family val="3"/>
      <charset val="128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249977111117893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</cellStyleXfs>
  <cellXfs count="59">
    <xf numFmtId="0" fontId="0" fillId="0" borderId="0" xfId="0">
      <alignment vertical="center"/>
    </xf>
    <xf numFmtId="0" fontId="0" fillId="33" borderId="10" xfId="0" applyFill="1" applyBorder="1">
      <alignment vertical="center"/>
    </xf>
    <xf numFmtId="38" fontId="0" fillId="33" borderId="10" xfId="42" applyFont="1" applyFill="1" applyBorder="1">
      <alignment vertical="center"/>
    </xf>
    <xf numFmtId="0" fontId="0" fillId="33" borderId="0" xfId="0" applyFill="1">
      <alignment vertical="center"/>
    </xf>
    <xf numFmtId="38" fontId="0" fillId="33" borderId="0" xfId="42" applyFont="1" applyFill="1">
      <alignment vertical="center"/>
    </xf>
    <xf numFmtId="0" fontId="19" fillId="33" borderId="10" xfId="0" applyFont="1" applyFill="1" applyBorder="1" applyAlignment="1">
      <alignment horizontal="center" vertical="center"/>
    </xf>
    <xf numFmtId="38" fontId="19" fillId="33" borderId="10" xfId="42" applyFont="1" applyFill="1" applyBorder="1" applyAlignment="1">
      <alignment horizontal="center" vertical="center"/>
    </xf>
    <xf numFmtId="0" fontId="19" fillId="0" borderId="0" xfId="0" applyFont="1" applyAlignment="1">
      <alignment horizontal="center" vertical="center"/>
    </xf>
    <xf numFmtId="58" fontId="0" fillId="33" borderId="10" xfId="0" applyNumberFormat="1" applyFill="1" applyBorder="1" applyAlignment="1">
      <alignment horizontal="left" vertical="center"/>
    </xf>
    <xf numFmtId="49" fontId="0" fillId="33" borderId="10" xfId="0" applyNumberFormat="1" applyFill="1" applyBorder="1" applyAlignment="1">
      <alignment horizontal="left" vertical="center"/>
    </xf>
    <xf numFmtId="0" fontId="0" fillId="34" borderId="10" xfId="0" applyFill="1" applyBorder="1">
      <alignment vertical="center"/>
    </xf>
    <xf numFmtId="0" fontId="19" fillId="33" borderId="10" xfId="0" applyFont="1" applyFill="1" applyBorder="1">
      <alignment vertical="center"/>
    </xf>
    <xf numFmtId="38" fontId="19" fillId="33" borderId="10" xfId="42" applyFont="1" applyFill="1" applyBorder="1">
      <alignment vertical="center"/>
    </xf>
    <xf numFmtId="0" fontId="20" fillId="34" borderId="10" xfId="0" applyFont="1" applyFill="1" applyBorder="1">
      <alignment vertical="center"/>
    </xf>
    <xf numFmtId="38" fontId="20" fillId="34" borderId="10" xfId="42" applyFont="1" applyFill="1" applyBorder="1">
      <alignment vertical="center"/>
    </xf>
    <xf numFmtId="0" fontId="0" fillId="0" borderId="10" xfId="0" applyFill="1" applyBorder="1">
      <alignment vertical="center"/>
    </xf>
    <xf numFmtId="38" fontId="0" fillId="0" borderId="10" xfId="42" applyFont="1" applyFill="1" applyBorder="1">
      <alignment vertical="center"/>
    </xf>
    <xf numFmtId="58" fontId="0" fillId="0" borderId="10" xfId="0" applyNumberFormat="1" applyFill="1" applyBorder="1" applyAlignment="1">
      <alignment horizontal="left" vertical="center"/>
    </xf>
    <xf numFmtId="49" fontId="0" fillId="0" borderId="10" xfId="0" applyNumberFormat="1" applyFill="1" applyBorder="1">
      <alignment vertical="center"/>
    </xf>
    <xf numFmtId="49" fontId="0" fillId="0" borderId="10" xfId="0" applyNumberFormat="1" applyFill="1" applyBorder="1" applyAlignment="1">
      <alignment horizontal="left" vertical="center"/>
    </xf>
    <xf numFmtId="0" fontId="0" fillId="35" borderId="10" xfId="0" applyFill="1" applyBorder="1">
      <alignment vertical="center"/>
    </xf>
    <xf numFmtId="38" fontId="0" fillId="35" borderId="10" xfId="42" applyFont="1" applyFill="1" applyBorder="1">
      <alignment vertical="center"/>
    </xf>
    <xf numFmtId="14" fontId="0" fillId="33" borderId="10" xfId="0" applyNumberFormat="1" applyFill="1" applyBorder="1">
      <alignment vertical="center"/>
    </xf>
    <xf numFmtId="0" fontId="20" fillId="35" borderId="10" xfId="0" applyFont="1" applyFill="1" applyBorder="1">
      <alignment vertical="center"/>
    </xf>
    <xf numFmtId="38" fontId="20" fillId="35" borderId="10" xfId="42" applyFont="1" applyFill="1" applyBorder="1">
      <alignment vertical="center"/>
    </xf>
    <xf numFmtId="0" fontId="20" fillId="33" borderId="10" xfId="0" applyFont="1" applyFill="1" applyBorder="1">
      <alignment vertical="center"/>
    </xf>
    <xf numFmtId="0" fontId="0" fillId="36" borderId="10" xfId="0" applyFill="1" applyBorder="1">
      <alignment vertical="center"/>
    </xf>
    <xf numFmtId="0" fontId="19" fillId="36" borderId="10" xfId="0" applyFont="1" applyFill="1" applyBorder="1">
      <alignment vertical="center"/>
    </xf>
    <xf numFmtId="0" fontId="19" fillId="36" borderId="10" xfId="0" applyFont="1" applyFill="1" applyBorder="1" applyAlignment="1">
      <alignment horizontal="right" vertical="center"/>
    </xf>
    <xf numFmtId="38" fontId="19" fillId="36" borderId="10" xfId="42" applyFont="1" applyFill="1" applyBorder="1">
      <alignment vertical="center"/>
    </xf>
    <xf numFmtId="0" fontId="20" fillId="36" borderId="10" xfId="0" applyFont="1" applyFill="1" applyBorder="1" applyAlignment="1">
      <alignment horizontal="right" vertical="center"/>
    </xf>
    <xf numFmtId="38" fontId="0" fillId="36" borderId="10" xfId="42" applyFont="1" applyFill="1" applyBorder="1">
      <alignment vertical="center"/>
    </xf>
    <xf numFmtId="58" fontId="0" fillId="36" borderId="10" xfId="0" applyNumberFormat="1" applyFill="1" applyBorder="1" applyAlignment="1">
      <alignment horizontal="left" vertical="center"/>
    </xf>
    <xf numFmtId="0" fontId="0" fillId="37" borderId="10" xfId="0" applyFill="1" applyBorder="1">
      <alignment vertical="center"/>
    </xf>
    <xf numFmtId="0" fontId="19" fillId="37" borderId="10" xfId="0" applyFont="1" applyFill="1" applyBorder="1" applyAlignment="1">
      <alignment horizontal="right" vertical="center"/>
    </xf>
    <xf numFmtId="38" fontId="19" fillId="37" borderId="10" xfId="42" applyFont="1" applyFill="1" applyBorder="1">
      <alignment vertical="center"/>
    </xf>
    <xf numFmtId="0" fontId="19" fillId="37" borderId="10" xfId="0" applyFont="1" applyFill="1" applyBorder="1">
      <alignment vertical="center"/>
    </xf>
    <xf numFmtId="58" fontId="0" fillId="37" borderId="10" xfId="0" applyNumberFormat="1" applyFill="1" applyBorder="1" applyAlignment="1">
      <alignment horizontal="left" vertical="center"/>
    </xf>
    <xf numFmtId="38" fontId="20" fillId="33" borderId="10" xfId="42" applyFont="1" applyFill="1" applyBorder="1">
      <alignment vertical="center"/>
    </xf>
    <xf numFmtId="14" fontId="20" fillId="33" borderId="10" xfId="0" applyNumberFormat="1" applyFont="1" applyFill="1" applyBorder="1">
      <alignment vertical="center"/>
    </xf>
    <xf numFmtId="0" fontId="20" fillId="0" borderId="0" xfId="0" applyFont="1">
      <alignment vertical="center"/>
    </xf>
    <xf numFmtId="0" fontId="20" fillId="38" borderId="10" xfId="0" applyFont="1" applyFill="1" applyBorder="1">
      <alignment vertical="center"/>
    </xf>
    <xf numFmtId="38" fontId="20" fillId="38" borderId="10" xfId="42" applyFont="1" applyFill="1" applyBorder="1">
      <alignment vertical="center"/>
    </xf>
    <xf numFmtId="0" fontId="0" fillId="38" borderId="10" xfId="0" applyFill="1" applyBorder="1">
      <alignment vertical="center"/>
    </xf>
    <xf numFmtId="38" fontId="0" fillId="38" borderId="10" xfId="42" applyFont="1" applyFill="1" applyBorder="1">
      <alignment vertical="center"/>
    </xf>
    <xf numFmtId="38" fontId="20" fillId="36" borderId="10" xfId="42" applyFont="1" applyFill="1" applyBorder="1">
      <alignment vertical="center"/>
    </xf>
    <xf numFmtId="38" fontId="20" fillId="37" borderId="10" xfId="42" applyFont="1" applyFill="1" applyBorder="1">
      <alignment vertical="center"/>
    </xf>
    <xf numFmtId="0" fontId="20" fillId="33" borderId="10" xfId="0" applyFont="1" applyFill="1" applyBorder="1" applyAlignment="1">
      <alignment vertical="center" wrapText="1"/>
    </xf>
    <xf numFmtId="38" fontId="19" fillId="33" borderId="10" xfId="42" applyFont="1" applyFill="1" applyBorder="1" applyAlignment="1">
      <alignment horizontal="center" vertical="center" wrapText="1"/>
    </xf>
    <xf numFmtId="0" fontId="19" fillId="0" borderId="0" xfId="0" applyFont="1">
      <alignment vertical="center"/>
    </xf>
    <xf numFmtId="0" fontId="22" fillId="0" borderId="0" xfId="0" applyFont="1">
      <alignment vertical="center"/>
    </xf>
    <xf numFmtId="0" fontId="22" fillId="33" borderId="0" xfId="0" applyFont="1" applyFill="1">
      <alignment vertical="center"/>
    </xf>
    <xf numFmtId="0" fontId="21" fillId="33" borderId="0" xfId="0" applyFont="1" applyFill="1">
      <alignment vertical="center"/>
    </xf>
    <xf numFmtId="38" fontId="22" fillId="33" borderId="0" xfId="42" applyFont="1" applyFill="1">
      <alignment vertical="center"/>
    </xf>
    <xf numFmtId="0" fontId="23" fillId="33" borderId="0" xfId="0" applyFont="1" applyFill="1">
      <alignment vertical="center"/>
    </xf>
    <xf numFmtId="38" fontId="19" fillId="0" borderId="10" xfId="42" applyFont="1" applyFill="1" applyBorder="1">
      <alignment vertical="center"/>
    </xf>
    <xf numFmtId="38" fontId="22" fillId="33" borderId="10" xfId="42" applyFont="1" applyFill="1" applyBorder="1">
      <alignment vertical="center"/>
    </xf>
    <xf numFmtId="0" fontId="22" fillId="0" borderId="0" xfId="0" applyFont="1" applyFill="1" applyAlignment="1">
      <alignment vertical="center"/>
    </xf>
    <xf numFmtId="0" fontId="21" fillId="33" borderId="0" xfId="0" applyFont="1" applyFill="1" applyAlignment="1">
      <alignment horizontal="right" vertical="center"/>
    </xf>
  </cellXfs>
  <cellStyles count="43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桁区切り" xfId="42" builtinId="6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colors>
    <mruColors>
      <color rgb="FFCCFFFF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5872"/>
  <sheetViews>
    <sheetView tabSelected="1" view="pageBreakPreview" zoomScale="85" zoomScaleNormal="85" zoomScaleSheetLayoutView="85" workbookViewId="0">
      <pane ySplit="9" topLeftCell="A10" activePane="bottomLeft" state="frozen"/>
      <selection pane="bottomLeft" activeCell="K5" sqref="K5"/>
    </sheetView>
  </sheetViews>
  <sheetFormatPr defaultRowHeight="13.5" x14ac:dyDescent="0.15"/>
  <cols>
    <col min="1" max="1" width="6.25" style="3" customWidth="1"/>
    <col min="2" max="2" width="16.375" style="3" customWidth="1"/>
    <col min="3" max="3" width="54" style="3" customWidth="1"/>
    <col min="4" max="4" width="6.875" style="3" customWidth="1"/>
    <col min="5" max="5" width="7.75" style="3" customWidth="1"/>
    <col min="6" max="7" width="13.125" style="4" customWidth="1"/>
    <col min="8" max="8" width="18.5" style="3" customWidth="1"/>
    <col min="9" max="9" width="13.125" style="3" customWidth="1"/>
    <col min="10" max="10" width="12.75" style="3" customWidth="1"/>
    <col min="11" max="11" width="13.875" style="3" customWidth="1"/>
    <col min="12" max="12" width="27.5" style="3" bestFit="1" customWidth="1"/>
    <col min="13" max="13" width="9" customWidth="1"/>
  </cols>
  <sheetData>
    <row r="1" spans="1:12" s="50" customFormat="1" ht="30.6" customHeight="1" x14ac:dyDescent="0.15">
      <c r="A1" s="58" t="s">
        <v>790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</row>
    <row r="2" spans="1:12" s="50" customFormat="1" ht="30.6" customHeight="1" x14ac:dyDescent="0.15">
      <c r="A2" s="51"/>
      <c r="B2" s="52"/>
      <c r="C2" s="51"/>
      <c r="D2" s="51"/>
      <c r="E2" s="51"/>
      <c r="F2" s="53"/>
      <c r="G2" s="53"/>
      <c r="H2" s="51"/>
      <c r="I2" s="51"/>
      <c r="J2" s="51"/>
      <c r="K2" s="51"/>
      <c r="L2" s="51"/>
    </row>
    <row r="3" spans="1:12" s="50" customFormat="1" ht="18" customHeight="1" x14ac:dyDescent="0.15">
      <c r="A3" s="51"/>
      <c r="B3" s="57" t="s">
        <v>789</v>
      </c>
      <c r="C3" s="54"/>
      <c r="D3" s="51"/>
      <c r="E3" s="51"/>
      <c r="F3" s="53"/>
      <c r="G3" s="53"/>
      <c r="H3" s="51"/>
      <c r="I3" s="51"/>
      <c r="J3" s="51"/>
      <c r="K3" s="51"/>
      <c r="L3" s="51"/>
    </row>
    <row r="4" spans="1:12" s="50" customFormat="1" ht="19.899999999999999" customHeight="1" x14ac:dyDescent="0.15">
      <c r="A4" s="51"/>
      <c r="B4" s="57" t="s">
        <v>792</v>
      </c>
      <c r="C4" s="54"/>
      <c r="D4" s="51"/>
      <c r="E4" s="51"/>
      <c r="F4" s="53"/>
      <c r="G4" s="53"/>
      <c r="H4" s="51"/>
      <c r="I4" s="51"/>
      <c r="J4" s="51"/>
      <c r="K4" s="51"/>
      <c r="L4" s="51"/>
    </row>
    <row r="5" spans="1:12" s="50" customFormat="1" ht="15" customHeight="1" x14ac:dyDescent="0.15">
      <c r="A5" s="51"/>
      <c r="B5" s="51" t="s">
        <v>663</v>
      </c>
      <c r="C5" s="54"/>
      <c r="D5" s="51"/>
      <c r="E5" s="51"/>
      <c r="F5" s="53"/>
      <c r="G5" s="53"/>
      <c r="H5" s="51"/>
      <c r="I5" s="51"/>
      <c r="J5" s="51"/>
      <c r="K5" s="51"/>
      <c r="L5" s="51"/>
    </row>
    <row r="6" spans="1:12" s="50" customFormat="1" ht="15" customHeight="1" x14ac:dyDescent="0.15">
      <c r="A6" s="51"/>
      <c r="B6" s="51" t="s">
        <v>664</v>
      </c>
      <c r="C6" s="54"/>
      <c r="D6" s="51"/>
      <c r="E6" s="51"/>
      <c r="F6" s="53"/>
      <c r="G6" s="53"/>
      <c r="H6" s="51"/>
      <c r="I6" s="51"/>
      <c r="J6" s="51"/>
      <c r="K6" s="51"/>
      <c r="L6" s="51"/>
    </row>
    <row r="7" spans="1:12" s="50" customFormat="1" ht="15" customHeight="1" x14ac:dyDescent="0.15">
      <c r="A7" s="51"/>
      <c r="B7" s="51" t="s">
        <v>665</v>
      </c>
      <c r="C7" s="54"/>
      <c r="D7" s="51"/>
      <c r="E7" s="51"/>
      <c r="F7" s="53"/>
      <c r="G7" s="53"/>
      <c r="H7" s="51"/>
      <c r="I7" s="51"/>
      <c r="J7" s="51"/>
      <c r="K7" s="51"/>
      <c r="L7" s="51"/>
    </row>
    <row r="8" spans="1:12" s="50" customFormat="1" ht="15" customHeight="1" x14ac:dyDescent="0.15">
      <c r="A8" s="51"/>
      <c r="B8" s="51" t="s">
        <v>791</v>
      </c>
      <c r="C8" s="54"/>
      <c r="D8" s="51"/>
      <c r="E8" s="51"/>
      <c r="F8" s="53"/>
      <c r="G8" s="53"/>
      <c r="H8" s="51"/>
      <c r="I8" s="51"/>
      <c r="J8" s="51"/>
      <c r="K8" s="51"/>
      <c r="L8" s="51"/>
    </row>
    <row r="9" spans="1:12" s="7" customFormat="1" ht="26.25" customHeight="1" x14ac:dyDescent="0.15">
      <c r="A9" s="5" t="s">
        <v>624</v>
      </c>
      <c r="B9" s="5" t="s">
        <v>652</v>
      </c>
      <c r="C9" s="5" t="s">
        <v>1</v>
      </c>
      <c r="D9" s="5" t="s">
        <v>620</v>
      </c>
      <c r="E9" s="5" t="s">
        <v>2</v>
      </c>
      <c r="F9" s="6" t="s">
        <v>623</v>
      </c>
      <c r="G9" s="48" t="s">
        <v>691</v>
      </c>
      <c r="H9" s="5" t="s">
        <v>621</v>
      </c>
      <c r="I9" s="5" t="s">
        <v>653</v>
      </c>
      <c r="J9" s="5" t="s">
        <v>0</v>
      </c>
      <c r="K9" s="5" t="s">
        <v>622</v>
      </c>
      <c r="L9" s="5" t="s">
        <v>3</v>
      </c>
    </row>
    <row r="10" spans="1:12" ht="18" customHeight="1" x14ac:dyDescent="0.15">
      <c r="A10" s="20">
        <v>1</v>
      </c>
      <c r="B10" s="20" t="s">
        <v>5</v>
      </c>
      <c r="C10" s="20" t="s">
        <v>6</v>
      </c>
      <c r="D10" s="20">
        <v>1</v>
      </c>
      <c r="E10" s="20" t="s">
        <v>4</v>
      </c>
      <c r="F10" s="21">
        <v>1955000</v>
      </c>
      <c r="G10" s="21" t="s">
        <v>667</v>
      </c>
      <c r="H10" s="1" t="str">
        <f>"昭和63年3月31日"</f>
        <v>昭和63年3月31日</v>
      </c>
      <c r="I10" s="22">
        <f t="shared" ref="I10:I81" si="0">DATEVALUE(H10)</f>
        <v>32233</v>
      </c>
      <c r="J10" s="1" t="str">
        <f>"00001247"</f>
        <v>00001247</v>
      </c>
      <c r="K10" s="1" t="str">
        <f>"１　　　　　　　　　　　　　　　　　　　"</f>
        <v>１　　　　　　　　　　　　　　　　　　　</v>
      </c>
      <c r="L10" s="1"/>
    </row>
    <row r="11" spans="1:12" ht="18" customHeight="1" x14ac:dyDescent="0.15">
      <c r="A11" s="20">
        <v>3</v>
      </c>
      <c r="B11" s="20" t="s">
        <v>10</v>
      </c>
      <c r="C11" s="20" t="s">
        <v>11</v>
      </c>
      <c r="D11" s="20">
        <v>1</v>
      </c>
      <c r="E11" s="20" t="s">
        <v>4</v>
      </c>
      <c r="F11" s="21">
        <v>20000000</v>
      </c>
      <c r="G11" s="21" t="s">
        <v>667</v>
      </c>
      <c r="H11" s="1" t="str">
        <f t="shared" ref="H11:H78" si="1">"平成3年3月31日"</f>
        <v>平成3年3月31日</v>
      </c>
      <c r="I11" s="22">
        <f t="shared" si="0"/>
        <v>33328</v>
      </c>
      <c r="J11" s="1" t="str">
        <f>"00002206"</f>
        <v>00002206</v>
      </c>
      <c r="K11" s="1" t="str">
        <f>"３０１　　　　　　　　　　　　　　　　　"</f>
        <v>３０１　　　　　　　　　　　　　　　　　</v>
      </c>
      <c r="L11" s="1"/>
    </row>
    <row r="12" spans="1:12" ht="18" customHeight="1" x14ac:dyDescent="0.15">
      <c r="A12" s="20">
        <v>4</v>
      </c>
      <c r="B12" s="20" t="s">
        <v>10</v>
      </c>
      <c r="C12" s="20" t="s">
        <v>12</v>
      </c>
      <c r="D12" s="20">
        <v>1</v>
      </c>
      <c r="E12" s="20" t="s">
        <v>4</v>
      </c>
      <c r="F12" s="21">
        <v>7000000</v>
      </c>
      <c r="G12" s="21" t="s">
        <v>667</v>
      </c>
      <c r="H12" s="1" t="str">
        <f>"平成3年4月13日"</f>
        <v>平成3年4月13日</v>
      </c>
      <c r="I12" s="22">
        <f t="shared" si="0"/>
        <v>33341</v>
      </c>
      <c r="J12" s="1" t="str">
        <f>"00002231"</f>
        <v>00002231</v>
      </c>
      <c r="K12" s="1" t="str">
        <f>"３０１　　　　　　　　　　　　　　　　　"</f>
        <v>３０１　　　　　　　　　　　　　　　　　</v>
      </c>
      <c r="L12" s="1"/>
    </row>
    <row r="13" spans="1:12" ht="18" customHeight="1" x14ac:dyDescent="0.15">
      <c r="A13" s="20">
        <v>6</v>
      </c>
      <c r="B13" s="20" t="s">
        <v>15</v>
      </c>
      <c r="C13" s="20" t="s">
        <v>16</v>
      </c>
      <c r="D13" s="20">
        <v>1</v>
      </c>
      <c r="E13" s="20" t="s">
        <v>17</v>
      </c>
      <c r="F13" s="21">
        <v>33000000</v>
      </c>
      <c r="G13" s="21" t="s">
        <v>667</v>
      </c>
      <c r="H13" s="1" t="str">
        <f t="shared" ref="H13:H237" si="2">"平成4年12月5日"</f>
        <v>平成4年12月5日</v>
      </c>
      <c r="I13" s="22">
        <f t="shared" si="0"/>
        <v>33943</v>
      </c>
      <c r="J13" s="1" t="str">
        <f>"00002611"</f>
        <v>00002611</v>
      </c>
      <c r="K13" s="1" t="str">
        <f>"３０２　　　　　　　　　　　　　　　　　"</f>
        <v>３０２　　　　　　　　　　　　　　　　　</v>
      </c>
      <c r="L13" s="1"/>
    </row>
    <row r="14" spans="1:12" ht="18" customHeight="1" x14ac:dyDescent="0.15">
      <c r="A14" s="20">
        <v>7</v>
      </c>
      <c r="B14" s="20" t="s">
        <v>15</v>
      </c>
      <c r="C14" s="20" t="s">
        <v>18</v>
      </c>
      <c r="D14" s="20">
        <v>1</v>
      </c>
      <c r="E14" s="20" t="s">
        <v>17</v>
      </c>
      <c r="F14" s="21">
        <v>37950000</v>
      </c>
      <c r="G14" s="21" t="s">
        <v>667</v>
      </c>
      <c r="H14" s="1" t="str">
        <f t="shared" si="2"/>
        <v>平成4年12月5日</v>
      </c>
      <c r="I14" s="22">
        <f t="shared" si="0"/>
        <v>33943</v>
      </c>
      <c r="J14" s="1" t="str">
        <f>"00002612"</f>
        <v>00002612</v>
      </c>
      <c r="K14" s="1" t="str">
        <f>"３０１　　　　　　　　　　　　　　　　　"</f>
        <v>３０１　　　　　　　　　　　　　　　　　</v>
      </c>
      <c r="L14" s="1"/>
    </row>
    <row r="15" spans="1:12" ht="18" customHeight="1" x14ac:dyDescent="0.15">
      <c r="A15" s="20">
        <v>12</v>
      </c>
      <c r="B15" s="20" t="s">
        <v>10</v>
      </c>
      <c r="C15" s="20" t="s">
        <v>26</v>
      </c>
      <c r="D15" s="20">
        <v>1</v>
      </c>
      <c r="E15" s="20" t="s">
        <v>4</v>
      </c>
      <c r="F15" s="21">
        <v>20000000</v>
      </c>
      <c r="G15" s="21" t="s">
        <v>667</v>
      </c>
      <c r="H15" s="1" t="str">
        <f t="shared" si="2"/>
        <v>平成4年12月5日</v>
      </c>
      <c r="I15" s="22">
        <f t="shared" si="0"/>
        <v>33943</v>
      </c>
      <c r="J15" s="1" t="str">
        <f>"00002618"</f>
        <v>00002618</v>
      </c>
      <c r="K15" s="1" t="str">
        <f>"３０１　　　　　　　　　　　　　　　　　"</f>
        <v>３０１　　　　　　　　　　　　　　　　　</v>
      </c>
      <c r="L15" s="1"/>
    </row>
    <row r="16" spans="1:12" ht="18" customHeight="1" x14ac:dyDescent="0.15">
      <c r="A16" s="20">
        <v>13</v>
      </c>
      <c r="B16" s="20" t="s">
        <v>10</v>
      </c>
      <c r="C16" s="20" t="s">
        <v>27</v>
      </c>
      <c r="D16" s="20">
        <v>1</v>
      </c>
      <c r="E16" s="20" t="s">
        <v>4</v>
      </c>
      <c r="F16" s="21">
        <v>74160000</v>
      </c>
      <c r="G16" s="21" t="s">
        <v>667</v>
      </c>
      <c r="H16" s="1" t="str">
        <f t="shared" ref="H16:H2283" si="3">"平成5年3月31日"</f>
        <v>平成5年3月31日</v>
      </c>
      <c r="I16" s="22">
        <f t="shared" si="0"/>
        <v>34059</v>
      </c>
      <c r="J16" s="1" t="str">
        <f>"00002847"</f>
        <v>00002847</v>
      </c>
      <c r="K16" s="1" t="str">
        <f>"３０２　　　　　　　　　　　　　　　　　"</f>
        <v>３０２　　　　　　　　　　　　　　　　　</v>
      </c>
      <c r="L16" s="1"/>
    </row>
    <row r="17" spans="1:12" ht="18" customHeight="1" x14ac:dyDescent="0.15">
      <c r="A17" s="20">
        <v>5576</v>
      </c>
      <c r="B17" s="23" t="s">
        <v>10</v>
      </c>
      <c r="C17" s="23" t="s">
        <v>585</v>
      </c>
      <c r="D17" s="23">
        <v>1</v>
      </c>
      <c r="E17" s="23" t="s">
        <v>4</v>
      </c>
      <c r="F17" s="24">
        <v>906400</v>
      </c>
      <c r="G17" s="21" t="s">
        <v>667</v>
      </c>
      <c r="H17" s="25" t="str">
        <f t="shared" ref="H17:H2318" si="4">"平成6年3月31日"</f>
        <v>平成6年3月31日</v>
      </c>
      <c r="I17" s="22">
        <f t="shared" si="0"/>
        <v>34424</v>
      </c>
      <c r="J17" s="1" t="str">
        <f>"00748417"</f>
        <v>00748417</v>
      </c>
      <c r="K17" s="1" t="str">
        <f>"３０４　　　　　　　　　　　　　　　　　"</f>
        <v>３０４　　　　　　　　　　　　　　　　　</v>
      </c>
      <c r="L17" s="1"/>
    </row>
    <row r="18" spans="1:12" ht="18" customHeight="1" x14ac:dyDescent="0.15">
      <c r="A18" s="20">
        <v>25</v>
      </c>
      <c r="B18" s="20" t="s">
        <v>10</v>
      </c>
      <c r="C18" s="20" t="s">
        <v>40</v>
      </c>
      <c r="D18" s="20">
        <v>1</v>
      </c>
      <c r="E18" s="20" t="s">
        <v>4</v>
      </c>
      <c r="F18" s="21">
        <v>1236000</v>
      </c>
      <c r="G18" s="21" t="s">
        <v>667</v>
      </c>
      <c r="H18" s="1" t="str">
        <f>"平成7年6月11日"</f>
        <v>平成7年6月11日</v>
      </c>
      <c r="I18" s="22">
        <f t="shared" si="0"/>
        <v>34861</v>
      </c>
      <c r="J18" s="1" t="str">
        <f>"00003603"</f>
        <v>00003603</v>
      </c>
      <c r="K18" s="1" t="str">
        <f>"３０３　　　　　　　　　　　　　　　　　"</f>
        <v>３０３　　　　　　　　　　　　　　　　　</v>
      </c>
      <c r="L18" s="1"/>
    </row>
    <row r="19" spans="1:12" ht="18" customHeight="1" x14ac:dyDescent="0.15">
      <c r="A19" s="20">
        <v>26</v>
      </c>
      <c r="B19" s="20" t="s">
        <v>10</v>
      </c>
      <c r="C19" s="20" t="s">
        <v>41</v>
      </c>
      <c r="D19" s="20">
        <v>1</v>
      </c>
      <c r="E19" s="20" t="s">
        <v>4</v>
      </c>
      <c r="F19" s="21">
        <v>2000000</v>
      </c>
      <c r="G19" s="21" t="s">
        <v>667</v>
      </c>
      <c r="H19" s="1" t="str">
        <f>"平成7年11月7日"</f>
        <v>平成7年11月7日</v>
      </c>
      <c r="I19" s="22">
        <f t="shared" si="0"/>
        <v>35010</v>
      </c>
      <c r="J19" s="1" t="str">
        <f>"00003671"</f>
        <v>00003671</v>
      </c>
      <c r="K19" s="1" t="str">
        <f>"３０２　　　　　　　　　　　　　　　　　"</f>
        <v>３０２　　　　　　　　　　　　　　　　　</v>
      </c>
      <c r="L19" s="1"/>
    </row>
    <row r="20" spans="1:12" ht="18" customHeight="1" x14ac:dyDescent="0.15">
      <c r="A20" s="11">
        <v>57</v>
      </c>
      <c r="B20" s="11" t="s">
        <v>62</v>
      </c>
      <c r="C20" s="11" t="s">
        <v>96</v>
      </c>
      <c r="D20" s="11">
        <v>1</v>
      </c>
      <c r="E20" s="11" t="s">
        <v>4</v>
      </c>
      <c r="F20" s="12">
        <v>75602</v>
      </c>
      <c r="G20" s="12">
        <v>75602</v>
      </c>
      <c r="H20" s="11" t="str">
        <f t="shared" ref="H20:H46" si="5">"平成1年3月31日"</f>
        <v>平成1年3月31日</v>
      </c>
      <c r="I20" s="22">
        <f t="shared" si="0"/>
        <v>32598</v>
      </c>
      <c r="J20" s="1" t="str">
        <f>"00736003"</f>
        <v>00736003</v>
      </c>
      <c r="K20" s="1" t="str">
        <f>"３０１　　　　　　　　　　　　　　　　　"</f>
        <v>３０１　　　　　　　　　　　　　　　　　</v>
      </c>
      <c r="L20" s="1"/>
    </row>
    <row r="21" spans="1:12" ht="18" customHeight="1" x14ac:dyDescent="0.15">
      <c r="A21" s="11">
        <v>58</v>
      </c>
      <c r="B21" s="11" t="s">
        <v>62</v>
      </c>
      <c r="C21" s="11" t="s">
        <v>96</v>
      </c>
      <c r="D21" s="11">
        <v>1</v>
      </c>
      <c r="E21" s="11" t="s">
        <v>4</v>
      </c>
      <c r="F21" s="12">
        <v>75602</v>
      </c>
      <c r="G21" s="12">
        <v>75602</v>
      </c>
      <c r="H21" s="11" t="str">
        <f t="shared" si="5"/>
        <v>平成1年3月31日</v>
      </c>
      <c r="I21" s="22">
        <f t="shared" si="0"/>
        <v>32598</v>
      </c>
      <c r="J21" s="1" t="str">
        <f>"00736009"</f>
        <v>00736009</v>
      </c>
      <c r="K21" s="1" t="str">
        <f>"３０２　　　　　　　　　　　　　　　　　"</f>
        <v>３０２　　　　　　　　　　　　　　　　　</v>
      </c>
      <c r="L21" s="1"/>
    </row>
    <row r="22" spans="1:12" ht="18" customHeight="1" x14ac:dyDescent="0.15">
      <c r="A22" s="11">
        <v>59</v>
      </c>
      <c r="B22" s="11" t="s">
        <v>62</v>
      </c>
      <c r="C22" s="11" t="s">
        <v>96</v>
      </c>
      <c r="D22" s="11">
        <v>1</v>
      </c>
      <c r="E22" s="11" t="s">
        <v>4</v>
      </c>
      <c r="F22" s="12">
        <v>75602</v>
      </c>
      <c r="G22" s="12">
        <v>75602</v>
      </c>
      <c r="H22" s="11" t="str">
        <f t="shared" si="5"/>
        <v>平成1年3月31日</v>
      </c>
      <c r="I22" s="22">
        <f t="shared" si="0"/>
        <v>32598</v>
      </c>
      <c r="J22" s="1" t="str">
        <f>"00736015"</f>
        <v>00736015</v>
      </c>
      <c r="K22" s="1" t="str">
        <f>"３０３　　　　　　　　　　　　　　　　　"</f>
        <v>３０３　　　　　　　　　　　　　　　　　</v>
      </c>
      <c r="L22" s="1"/>
    </row>
    <row r="23" spans="1:12" ht="18" customHeight="1" x14ac:dyDescent="0.15">
      <c r="A23" s="11">
        <v>60</v>
      </c>
      <c r="B23" s="11" t="s">
        <v>62</v>
      </c>
      <c r="C23" s="11" t="s">
        <v>97</v>
      </c>
      <c r="D23" s="11">
        <v>1</v>
      </c>
      <c r="E23" s="11" t="s">
        <v>4</v>
      </c>
      <c r="F23" s="12">
        <v>72615</v>
      </c>
      <c r="G23" s="12">
        <v>72615</v>
      </c>
      <c r="H23" s="11" t="str">
        <f t="shared" si="5"/>
        <v>平成1年3月31日</v>
      </c>
      <c r="I23" s="22">
        <f t="shared" si="0"/>
        <v>32598</v>
      </c>
      <c r="J23" s="1" t="str">
        <f>"00736021"</f>
        <v>00736021</v>
      </c>
      <c r="K23" s="1" t="str">
        <f>"３０４　　　　　　　　　　　　　　　　　"</f>
        <v>３０４　　　　　　　　　　　　　　　　　</v>
      </c>
      <c r="L23" s="1"/>
    </row>
    <row r="24" spans="1:12" ht="18" customHeight="1" x14ac:dyDescent="0.15">
      <c r="A24" s="11">
        <v>61</v>
      </c>
      <c r="B24" s="11" t="s">
        <v>62</v>
      </c>
      <c r="C24" s="11" t="s">
        <v>97</v>
      </c>
      <c r="D24" s="11">
        <v>1</v>
      </c>
      <c r="E24" s="11" t="s">
        <v>4</v>
      </c>
      <c r="F24" s="12">
        <v>72615</v>
      </c>
      <c r="G24" s="12">
        <v>72615</v>
      </c>
      <c r="H24" s="11" t="str">
        <f t="shared" si="5"/>
        <v>平成1年3月31日</v>
      </c>
      <c r="I24" s="22">
        <f t="shared" si="0"/>
        <v>32598</v>
      </c>
      <c r="J24" s="1" t="str">
        <f>"00736027"</f>
        <v>00736027</v>
      </c>
      <c r="K24" s="1" t="str">
        <f>"３０５　　　　　　　　　　　　　　　　　"</f>
        <v>３０５　　　　　　　　　　　　　　　　　</v>
      </c>
      <c r="L24" s="1"/>
    </row>
    <row r="25" spans="1:12" ht="18" customHeight="1" x14ac:dyDescent="0.15">
      <c r="A25" s="11">
        <v>62</v>
      </c>
      <c r="B25" s="11" t="s">
        <v>62</v>
      </c>
      <c r="C25" s="11" t="s">
        <v>97</v>
      </c>
      <c r="D25" s="11">
        <v>1</v>
      </c>
      <c r="E25" s="11" t="s">
        <v>4</v>
      </c>
      <c r="F25" s="12">
        <v>72615</v>
      </c>
      <c r="G25" s="12">
        <v>72615</v>
      </c>
      <c r="H25" s="11" t="str">
        <f t="shared" si="5"/>
        <v>平成1年3月31日</v>
      </c>
      <c r="I25" s="22">
        <f t="shared" si="0"/>
        <v>32598</v>
      </c>
      <c r="J25" s="1" t="str">
        <f>"00736033"</f>
        <v>00736033</v>
      </c>
      <c r="K25" s="1" t="str">
        <f>"３０６　　　　　　　　　　　　　　　　　"</f>
        <v>３０６　　　　　　　　　　　　　　　　　</v>
      </c>
      <c r="L25" s="1"/>
    </row>
    <row r="26" spans="1:12" ht="18" customHeight="1" x14ac:dyDescent="0.15">
      <c r="A26" s="11">
        <v>63</v>
      </c>
      <c r="B26" s="11" t="s">
        <v>62</v>
      </c>
      <c r="C26" s="11" t="s">
        <v>97</v>
      </c>
      <c r="D26" s="11">
        <v>1</v>
      </c>
      <c r="E26" s="11" t="s">
        <v>4</v>
      </c>
      <c r="F26" s="12">
        <v>72615</v>
      </c>
      <c r="G26" s="12">
        <v>72615</v>
      </c>
      <c r="H26" s="11" t="str">
        <f t="shared" si="5"/>
        <v>平成1年3月31日</v>
      </c>
      <c r="I26" s="22">
        <f t="shared" si="0"/>
        <v>32598</v>
      </c>
      <c r="J26" s="1" t="str">
        <f>"00736039"</f>
        <v>00736039</v>
      </c>
      <c r="K26" s="1" t="str">
        <f>"３０７　　　　　　　　　　　　　　　　　"</f>
        <v>３０７　　　　　　　　　　　　　　　　　</v>
      </c>
      <c r="L26" s="1"/>
    </row>
    <row r="27" spans="1:12" ht="18" customHeight="1" x14ac:dyDescent="0.15">
      <c r="A27" s="11">
        <v>64</v>
      </c>
      <c r="B27" s="11" t="s">
        <v>62</v>
      </c>
      <c r="C27" s="11" t="s">
        <v>97</v>
      </c>
      <c r="D27" s="11">
        <v>1</v>
      </c>
      <c r="E27" s="11" t="s">
        <v>4</v>
      </c>
      <c r="F27" s="12">
        <v>72615</v>
      </c>
      <c r="G27" s="12">
        <v>72615</v>
      </c>
      <c r="H27" s="11" t="str">
        <f t="shared" si="5"/>
        <v>平成1年3月31日</v>
      </c>
      <c r="I27" s="22">
        <f t="shared" si="0"/>
        <v>32598</v>
      </c>
      <c r="J27" s="1" t="str">
        <f>"00736045"</f>
        <v>00736045</v>
      </c>
      <c r="K27" s="1" t="str">
        <f>"３０８　　　　　　　　　　　　　　　　　"</f>
        <v>３０８　　　　　　　　　　　　　　　　　</v>
      </c>
      <c r="L27" s="1"/>
    </row>
    <row r="28" spans="1:12" ht="18" customHeight="1" x14ac:dyDescent="0.15">
      <c r="A28" s="11">
        <v>65</v>
      </c>
      <c r="B28" s="11" t="s">
        <v>62</v>
      </c>
      <c r="C28" s="11" t="s">
        <v>99</v>
      </c>
      <c r="D28" s="11">
        <v>1</v>
      </c>
      <c r="E28" s="11" t="s">
        <v>4</v>
      </c>
      <c r="F28" s="12">
        <v>52015</v>
      </c>
      <c r="G28" s="12">
        <v>52015</v>
      </c>
      <c r="H28" s="11" t="str">
        <f t="shared" si="5"/>
        <v>平成1年3月31日</v>
      </c>
      <c r="I28" s="22">
        <f t="shared" si="0"/>
        <v>32598</v>
      </c>
      <c r="J28" s="1" t="str">
        <f>"00736057"</f>
        <v>00736057</v>
      </c>
      <c r="K28" s="1" t="str">
        <f>"３１０　　　　　　　　　　　　　　　　　"</f>
        <v>３１０　　　　　　　　　　　　　　　　　</v>
      </c>
      <c r="L28" s="1"/>
    </row>
    <row r="29" spans="1:12" ht="18" customHeight="1" x14ac:dyDescent="0.15">
      <c r="A29" s="11">
        <v>66</v>
      </c>
      <c r="B29" s="11" t="s">
        <v>62</v>
      </c>
      <c r="C29" s="11" t="s">
        <v>99</v>
      </c>
      <c r="D29" s="11">
        <v>1</v>
      </c>
      <c r="E29" s="11" t="s">
        <v>4</v>
      </c>
      <c r="F29" s="12">
        <v>52015</v>
      </c>
      <c r="G29" s="12">
        <v>52015</v>
      </c>
      <c r="H29" s="11" t="str">
        <f t="shared" si="5"/>
        <v>平成1年3月31日</v>
      </c>
      <c r="I29" s="22">
        <f t="shared" si="0"/>
        <v>32598</v>
      </c>
      <c r="J29" s="1" t="str">
        <f>"00736063"</f>
        <v>00736063</v>
      </c>
      <c r="K29" s="1" t="str">
        <f>"３１１　　　　　　　　　　　　　　　　　"</f>
        <v>３１１　　　　　　　　　　　　　　　　　</v>
      </c>
      <c r="L29" s="1"/>
    </row>
    <row r="30" spans="1:12" ht="18" customHeight="1" x14ac:dyDescent="0.15">
      <c r="A30" s="11">
        <v>67</v>
      </c>
      <c r="B30" s="11" t="s">
        <v>62</v>
      </c>
      <c r="C30" s="11" t="s">
        <v>99</v>
      </c>
      <c r="D30" s="11">
        <v>1</v>
      </c>
      <c r="E30" s="11" t="s">
        <v>4</v>
      </c>
      <c r="F30" s="12">
        <v>52015</v>
      </c>
      <c r="G30" s="12">
        <v>52015</v>
      </c>
      <c r="H30" s="11" t="str">
        <f t="shared" si="5"/>
        <v>平成1年3月31日</v>
      </c>
      <c r="I30" s="22">
        <f t="shared" si="0"/>
        <v>32598</v>
      </c>
      <c r="J30" s="1" t="str">
        <f>"00736069"</f>
        <v>00736069</v>
      </c>
      <c r="K30" s="1" t="str">
        <f>"３１２　　　　　　　　　　　　　　　　　"</f>
        <v>３１２　　　　　　　　　　　　　　　　　</v>
      </c>
      <c r="L30" s="1"/>
    </row>
    <row r="31" spans="1:12" ht="18" customHeight="1" x14ac:dyDescent="0.15">
      <c r="A31" s="11">
        <v>68</v>
      </c>
      <c r="B31" s="11" t="s">
        <v>62</v>
      </c>
      <c r="C31" s="11" t="s">
        <v>99</v>
      </c>
      <c r="D31" s="11">
        <v>1</v>
      </c>
      <c r="E31" s="11" t="s">
        <v>4</v>
      </c>
      <c r="F31" s="12">
        <v>52015</v>
      </c>
      <c r="G31" s="12">
        <v>52015</v>
      </c>
      <c r="H31" s="11" t="str">
        <f t="shared" si="5"/>
        <v>平成1年3月31日</v>
      </c>
      <c r="I31" s="22">
        <f t="shared" si="0"/>
        <v>32598</v>
      </c>
      <c r="J31" s="1" t="str">
        <f>"00736075"</f>
        <v>00736075</v>
      </c>
      <c r="K31" s="1" t="str">
        <f>"３１３　　　　　　　　　　　　　　　　　"</f>
        <v>３１３　　　　　　　　　　　　　　　　　</v>
      </c>
      <c r="L31" s="1"/>
    </row>
    <row r="32" spans="1:12" ht="18" customHeight="1" x14ac:dyDescent="0.15">
      <c r="A32" s="11">
        <v>69</v>
      </c>
      <c r="B32" s="11" t="s">
        <v>62</v>
      </c>
      <c r="C32" s="11" t="s">
        <v>99</v>
      </c>
      <c r="D32" s="11">
        <v>1</v>
      </c>
      <c r="E32" s="11" t="s">
        <v>4</v>
      </c>
      <c r="F32" s="12">
        <v>52015</v>
      </c>
      <c r="G32" s="12">
        <v>52015</v>
      </c>
      <c r="H32" s="11" t="str">
        <f t="shared" si="5"/>
        <v>平成1年3月31日</v>
      </c>
      <c r="I32" s="22">
        <f t="shared" si="0"/>
        <v>32598</v>
      </c>
      <c r="J32" s="1" t="str">
        <f>"00736081"</f>
        <v>00736081</v>
      </c>
      <c r="K32" s="1" t="str">
        <f>"３１４　　　　　　　　　　　　　　　　　"</f>
        <v>３１４　　　　　　　　　　　　　　　　　</v>
      </c>
      <c r="L32" s="1"/>
    </row>
    <row r="33" spans="1:12" ht="18" customHeight="1" x14ac:dyDescent="0.15">
      <c r="A33" s="11">
        <v>70</v>
      </c>
      <c r="B33" s="11" t="s">
        <v>62</v>
      </c>
      <c r="C33" s="11" t="s">
        <v>99</v>
      </c>
      <c r="D33" s="11">
        <v>1</v>
      </c>
      <c r="E33" s="11" t="s">
        <v>4</v>
      </c>
      <c r="F33" s="12">
        <v>52015</v>
      </c>
      <c r="G33" s="12">
        <v>52015</v>
      </c>
      <c r="H33" s="11" t="str">
        <f t="shared" si="5"/>
        <v>平成1年3月31日</v>
      </c>
      <c r="I33" s="22">
        <f t="shared" si="0"/>
        <v>32598</v>
      </c>
      <c r="J33" s="1" t="str">
        <f>"00736087"</f>
        <v>00736087</v>
      </c>
      <c r="K33" s="1" t="str">
        <f>"３１５　　　　　　　　　　　　　　　　　"</f>
        <v>３１５　　　　　　　　　　　　　　　　　</v>
      </c>
      <c r="L33" s="1"/>
    </row>
    <row r="34" spans="1:12" ht="18" customHeight="1" x14ac:dyDescent="0.15">
      <c r="A34" s="11">
        <v>71</v>
      </c>
      <c r="B34" s="11" t="s">
        <v>62</v>
      </c>
      <c r="C34" s="11" t="s">
        <v>99</v>
      </c>
      <c r="D34" s="11">
        <v>1</v>
      </c>
      <c r="E34" s="11" t="s">
        <v>4</v>
      </c>
      <c r="F34" s="12">
        <v>52015</v>
      </c>
      <c r="G34" s="12">
        <v>52015</v>
      </c>
      <c r="H34" s="11" t="str">
        <f t="shared" si="5"/>
        <v>平成1年3月31日</v>
      </c>
      <c r="I34" s="22">
        <f t="shared" si="0"/>
        <v>32598</v>
      </c>
      <c r="J34" s="1" t="str">
        <f>"00736093"</f>
        <v>00736093</v>
      </c>
      <c r="K34" s="1" t="str">
        <f>"３１６　　　　　　　　　　　　　　　　　"</f>
        <v>３１６　　　　　　　　　　　　　　　　　</v>
      </c>
      <c r="L34" s="1"/>
    </row>
    <row r="35" spans="1:12" ht="18" customHeight="1" x14ac:dyDescent="0.15">
      <c r="A35" s="11">
        <v>72</v>
      </c>
      <c r="B35" s="11" t="s">
        <v>62</v>
      </c>
      <c r="C35" s="11" t="s">
        <v>99</v>
      </c>
      <c r="D35" s="11">
        <v>1</v>
      </c>
      <c r="E35" s="11" t="s">
        <v>4</v>
      </c>
      <c r="F35" s="12">
        <v>52015</v>
      </c>
      <c r="G35" s="12">
        <v>52015</v>
      </c>
      <c r="H35" s="11" t="str">
        <f t="shared" si="5"/>
        <v>平成1年3月31日</v>
      </c>
      <c r="I35" s="22">
        <f t="shared" si="0"/>
        <v>32598</v>
      </c>
      <c r="J35" s="1" t="str">
        <f>"00736099"</f>
        <v>00736099</v>
      </c>
      <c r="K35" s="1" t="str">
        <f>"３１７　　　　　　　　　　　　　　　　　"</f>
        <v>３１７　　　　　　　　　　　　　　　　　</v>
      </c>
      <c r="L35" s="1"/>
    </row>
    <row r="36" spans="1:12" ht="18" customHeight="1" x14ac:dyDescent="0.15">
      <c r="A36" s="11">
        <v>73</v>
      </c>
      <c r="B36" s="11" t="s">
        <v>62</v>
      </c>
      <c r="C36" s="11" t="s">
        <v>99</v>
      </c>
      <c r="D36" s="11">
        <v>1</v>
      </c>
      <c r="E36" s="11" t="s">
        <v>4</v>
      </c>
      <c r="F36" s="12">
        <v>52015</v>
      </c>
      <c r="G36" s="12">
        <v>52015</v>
      </c>
      <c r="H36" s="11" t="str">
        <f t="shared" si="5"/>
        <v>平成1年3月31日</v>
      </c>
      <c r="I36" s="22">
        <f t="shared" si="0"/>
        <v>32598</v>
      </c>
      <c r="J36" s="1" t="str">
        <f>"00736105"</f>
        <v>00736105</v>
      </c>
      <c r="K36" s="1" t="str">
        <f>"３１８　　　　　　　　　　　　　　　　　"</f>
        <v>３１８　　　　　　　　　　　　　　　　　</v>
      </c>
      <c r="L36" s="1"/>
    </row>
    <row r="37" spans="1:12" ht="18" customHeight="1" x14ac:dyDescent="0.15">
      <c r="A37" s="11">
        <v>74</v>
      </c>
      <c r="B37" s="11" t="s">
        <v>62</v>
      </c>
      <c r="C37" s="11" t="s">
        <v>99</v>
      </c>
      <c r="D37" s="11">
        <v>1</v>
      </c>
      <c r="E37" s="11" t="s">
        <v>4</v>
      </c>
      <c r="F37" s="12">
        <v>52015</v>
      </c>
      <c r="G37" s="12">
        <v>52015</v>
      </c>
      <c r="H37" s="11" t="str">
        <f t="shared" si="5"/>
        <v>平成1年3月31日</v>
      </c>
      <c r="I37" s="22">
        <f t="shared" si="0"/>
        <v>32598</v>
      </c>
      <c r="J37" s="1" t="str">
        <f>"00736111"</f>
        <v>00736111</v>
      </c>
      <c r="K37" s="1" t="str">
        <f>"３１９　　　　　　　　　　　　　　　　　"</f>
        <v>３１９　　　　　　　　　　　　　　　　　</v>
      </c>
      <c r="L37" s="1"/>
    </row>
    <row r="38" spans="1:12" ht="18" customHeight="1" x14ac:dyDescent="0.15">
      <c r="A38" s="11">
        <v>75</v>
      </c>
      <c r="B38" s="11" t="s">
        <v>62</v>
      </c>
      <c r="C38" s="11" t="s">
        <v>99</v>
      </c>
      <c r="D38" s="11">
        <v>1</v>
      </c>
      <c r="E38" s="11" t="s">
        <v>4</v>
      </c>
      <c r="F38" s="12">
        <v>52015</v>
      </c>
      <c r="G38" s="12">
        <v>52015</v>
      </c>
      <c r="H38" s="11" t="str">
        <f t="shared" si="5"/>
        <v>平成1年3月31日</v>
      </c>
      <c r="I38" s="22">
        <f t="shared" si="0"/>
        <v>32598</v>
      </c>
      <c r="J38" s="1" t="str">
        <f>"00736117"</f>
        <v>00736117</v>
      </c>
      <c r="K38" s="1" t="str">
        <f>"３２１　　　　　　　　　　　　　　　　　"</f>
        <v>３２１　　　　　　　　　　　　　　　　　</v>
      </c>
      <c r="L38" s="1"/>
    </row>
    <row r="39" spans="1:12" ht="18" customHeight="1" x14ac:dyDescent="0.15">
      <c r="A39" s="11">
        <v>76</v>
      </c>
      <c r="B39" s="11" t="s">
        <v>62</v>
      </c>
      <c r="C39" s="11" t="s">
        <v>99</v>
      </c>
      <c r="D39" s="11">
        <v>1</v>
      </c>
      <c r="E39" s="11" t="s">
        <v>4</v>
      </c>
      <c r="F39" s="12">
        <v>52015</v>
      </c>
      <c r="G39" s="12">
        <v>52015</v>
      </c>
      <c r="H39" s="11" t="str">
        <f t="shared" si="5"/>
        <v>平成1年3月31日</v>
      </c>
      <c r="I39" s="22">
        <f t="shared" si="0"/>
        <v>32598</v>
      </c>
      <c r="J39" s="1" t="str">
        <f>"00736123"</f>
        <v>00736123</v>
      </c>
      <c r="K39" s="1" t="str">
        <f>"３２２　　　　　　　　　　　　　　　　　"</f>
        <v>３２２　　　　　　　　　　　　　　　　　</v>
      </c>
      <c r="L39" s="1"/>
    </row>
    <row r="40" spans="1:12" ht="18" customHeight="1" x14ac:dyDescent="0.15">
      <c r="A40" s="11">
        <v>77</v>
      </c>
      <c r="B40" s="11" t="s">
        <v>62</v>
      </c>
      <c r="C40" s="11" t="s">
        <v>99</v>
      </c>
      <c r="D40" s="11">
        <v>1</v>
      </c>
      <c r="E40" s="11" t="s">
        <v>4</v>
      </c>
      <c r="F40" s="12">
        <v>52015</v>
      </c>
      <c r="G40" s="12">
        <v>52015</v>
      </c>
      <c r="H40" s="11" t="str">
        <f t="shared" si="5"/>
        <v>平成1年3月31日</v>
      </c>
      <c r="I40" s="22">
        <f t="shared" si="0"/>
        <v>32598</v>
      </c>
      <c r="J40" s="1" t="str">
        <f>"00736129"</f>
        <v>00736129</v>
      </c>
      <c r="K40" s="1" t="str">
        <f>"３２３　　　　　　　　　　　　　　　　　"</f>
        <v>３２３　　　　　　　　　　　　　　　　　</v>
      </c>
      <c r="L40" s="1"/>
    </row>
    <row r="41" spans="1:12" ht="18" customHeight="1" x14ac:dyDescent="0.15">
      <c r="A41" s="11">
        <v>78</v>
      </c>
      <c r="B41" s="11" t="s">
        <v>62</v>
      </c>
      <c r="C41" s="11" t="s">
        <v>99</v>
      </c>
      <c r="D41" s="11">
        <v>1</v>
      </c>
      <c r="E41" s="11" t="s">
        <v>4</v>
      </c>
      <c r="F41" s="12">
        <v>52015</v>
      </c>
      <c r="G41" s="12">
        <v>52015</v>
      </c>
      <c r="H41" s="11" t="str">
        <f t="shared" si="5"/>
        <v>平成1年3月31日</v>
      </c>
      <c r="I41" s="22">
        <f t="shared" si="0"/>
        <v>32598</v>
      </c>
      <c r="J41" s="1" t="str">
        <f>"00736134"</f>
        <v>00736134</v>
      </c>
      <c r="K41" s="1" t="str">
        <f>"３２４　　　　　　　　　　　　　　　　　"</f>
        <v>３２４　　　　　　　　　　　　　　　　　</v>
      </c>
      <c r="L41" s="1"/>
    </row>
    <row r="42" spans="1:12" ht="18" customHeight="1" x14ac:dyDescent="0.15">
      <c r="A42" s="11">
        <v>79</v>
      </c>
      <c r="B42" s="11" t="s">
        <v>62</v>
      </c>
      <c r="C42" s="11" t="s">
        <v>99</v>
      </c>
      <c r="D42" s="11">
        <v>1</v>
      </c>
      <c r="E42" s="11" t="s">
        <v>4</v>
      </c>
      <c r="F42" s="12">
        <v>52015</v>
      </c>
      <c r="G42" s="12">
        <v>52015</v>
      </c>
      <c r="H42" s="11" t="str">
        <f t="shared" si="5"/>
        <v>平成1年3月31日</v>
      </c>
      <c r="I42" s="22">
        <f t="shared" si="0"/>
        <v>32598</v>
      </c>
      <c r="J42" s="1" t="str">
        <f>"00736139"</f>
        <v>00736139</v>
      </c>
      <c r="K42" s="1" t="str">
        <f>"３２５　　　　　　　　　　　　　　　　　"</f>
        <v>３２５　　　　　　　　　　　　　　　　　</v>
      </c>
      <c r="L42" s="1"/>
    </row>
    <row r="43" spans="1:12" ht="18" customHeight="1" x14ac:dyDescent="0.15">
      <c r="A43" s="11">
        <v>80</v>
      </c>
      <c r="B43" s="11" t="s">
        <v>62</v>
      </c>
      <c r="C43" s="11" t="s">
        <v>97</v>
      </c>
      <c r="D43" s="11">
        <v>1</v>
      </c>
      <c r="E43" s="11" t="s">
        <v>4</v>
      </c>
      <c r="F43" s="12">
        <v>72615</v>
      </c>
      <c r="G43" s="12">
        <v>72615</v>
      </c>
      <c r="H43" s="11" t="str">
        <f t="shared" si="5"/>
        <v>平成1年3月31日</v>
      </c>
      <c r="I43" s="22">
        <f t="shared" si="0"/>
        <v>32598</v>
      </c>
      <c r="J43" s="1" t="str">
        <f>"00736144"</f>
        <v>00736144</v>
      </c>
      <c r="K43" s="1" t="str">
        <f>"３２６　　　　　　　　　　　　　　　　　"</f>
        <v>３２６　　　　　　　　　　　　　　　　　</v>
      </c>
      <c r="L43" s="1"/>
    </row>
    <row r="44" spans="1:12" ht="18" customHeight="1" x14ac:dyDescent="0.15">
      <c r="A44" s="11">
        <v>81</v>
      </c>
      <c r="B44" s="11" t="s">
        <v>62</v>
      </c>
      <c r="C44" s="11" t="s">
        <v>97</v>
      </c>
      <c r="D44" s="11">
        <v>1</v>
      </c>
      <c r="E44" s="11" t="s">
        <v>4</v>
      </c>
      <c r="F44" s="12">
        <v>72615</v>
      </c>
      <c r="G44" s="12">
        <v>72615</v>
      </c>
      <c r="H44" s="11" t="str">
        <f t="shared" si="5"/>
        <v>平成1年3月31日</v>
      </c>
      <c r="I44" s="22">
        <f t="shared" si="0"/>
        <v>32598</v>
      </c>
      <c r="J44" s="1" t="str">
        <f>"00736151"</f>
        <v>00736151</v>
      </c>
      <c r="K44" s="1" t="str">
        <f>"３２７　　　　　　　　　　　　　　　　　"</f>
        <v>３２７　　　　　　　　　　　　　　　　　</v>
      </c>
      <c r="L44" s="1"/>
    </row>
    <row r="45" spans="1:12" ht="18" customHeight="1" x14ac:dyDescent="0.15">
      <c r="A45" s="11">
        <v>82</v>
      </c>
      <c r="B45" s="11" t="s">
        <v>62</v>
      </c>
      <c r="C45" s="11" t="s">
        <v>97</v>
      </c>
      <c r="D45" s="11">
        <v>1</v>
      </c>
      <c r="E45" s="11" t="s">
        <v>4</v>
      </c>
      <c r="F45" s="12">
        <v>72615</v>
      </c>
      <c r="G45" s="12">
        <v>72615</v>
      </c>
      <c r="H45" s="11" t="str">
        <f t="shared" si="5"/>
        <v>平成1年3月31日</v>
      </c>
      <c r="I45" s="22">
        <f t="shared" si="0"/>
        <v>32598</v>
      </c>
      <c r="J45" s="1" t="str">
        <f>"00736155"</f>
        <v>00736155</v>
      </c>
      <c r="K45" s="1" t="str">
        <f>"３２８　　　　　　　　　　　　　　　　　"</f>
        <v>３２８　　　　　　　　　　　　　　　　　</v>
      </c>
      <c r="L45" s="1"/>
    </row>
    <row r="46" spans="1:12" ht="18" customHeight="1" x14ac:dyDescent="0.15">
      <c r="A46" s="11">
        <v>83</v>
      </c>
      <c r="B46" s="11" t="s">
        <v>62</v>
      </c>
      <c r="C46" s="11" t="s">
        <v>102</v>
      </c>
      <c r="D46" s="11">
        <v>1</v>
      </c>
      <c r="E46" s="11" t="s">
        <v>4</v>
      </c>
      <c r="F46" s="12">
        <v>267800</v>
      </c>
      <c r="G46" s="12">
        <v>267800</v>
      </c>
      <c r="H46" s="11" t="str">
        <f t="shared" si="5"/>
        <v>平成1年3月31日</v>
      </c>
      <c r="I46" s="22">
        <f t="shared" si="0"/>
        <v>32598</v>
      </c>
      <c r="J46" s="1" t="str">
        <f>"00736167"</f>
        <v>00736167</v>
      </c>
      <c r="K46" s="1" t="str">
        <f>"３３２　　　　　　　　　　　　　　　　　"</f>
        <v>３３２　　　　　　　　　　　　　　　　　</v>
      </c>
      <c r="L46" s="1"/>
    </row>
    <row r="47" spans="1:12" ht="18" customHeight="1" x14ac:dyDescent="0.15">
      <c r="A47" s="11">
        <v>2</v>
      </c>
      <c r="B47" s="11" t="s">
        <v>7</v>
      </c>
      <c r="C47" s="11" t="s">
        <v>8</v>
      </c>
      <c r="D47" s="11">
        <v>1</v>
      </c>
      <c r="E47" s="11" t="s">
        <v>9</v>
      </c>
      <c r="F47" s="12">
        <v>1091800</v>
      </c>
      <c r="G47" s="12">
        <v>1091800</v>
      </c>
      <c r="H47" s="11" t="str">
        <f>"平成3年3月30日"</f>
        <v>平成3年3月30日</v>
      </c>
      <c r="I47" s="22">
        <f t="shared" si="0"/>
        <v>33327</v>
      </c>
      <c r="J47" s="1" t="str">
        <f>"00002164"</f>
        <v>00002164</v>
      </c>
      <c r="K47" s="1" t="str">
        <f>"３１０　　　　　　　　　　　　　　　　　"</f>
        <v>３１０　　　　　　　　　　　　　　　　　</v>
      </c>
      <c r="L47" s="1"/>
    </row>
    <row r="48" spans="1:12" ht="18" customHeight="1" x14ac:dyDescent="0.15">
      <c r="A48" s="11">
        <v>53</v>
      </c>
      <c r="B48" s="11" t="s">
        <v>90</v>
      </c>
      <c r="C48" s="11" t="s">
        <v>91</v>
      </c>
      <c r="D48" s="11">
        <v>1</v>
      </c>
      <c r="E48" s="11" t="s">
        <v>21</v>
      </c>
      <c r="F48" s="12">
        <v>242050</v>
      </c>
      <c r="G48" s="12">
        <v>242050</v>
      </c>
      <c r="H48" s="11" t="str">
        <f t="shared" si="1"/>
        <v>平成3年3月31日</v>
      </c>
      <c r="I48" s="22">
        <f t="shared" si="0"/>
        <v>33328</v>
      </c>
      <c r="J48" s="1" t="str">
        <f>"00735979"</f>
        <v>00735979</v>
      </c>
      <c r="K48" s="1" t="str">
        <f>"１　　　　　　　　　　　　　　　　　　　"</f>
        <v>１　　　　　　　　　　　　　　　　　　　</v>
      </c>
      <c r="L48" s="1"/>
    </row>
    <row r="49" spans="1:12" ht="18" customHeight="1" x14ac:dyDescent="0.15">
      <c r="A49" s="11">
        <v>528</v>
      </c>
      <c r="B49" s="11" t="s">
        <v>28</v>
      </c>
      <c r="C49" s="11" t="s">
        <v>143</v>
      </c>
      <c r="D49" s="11">
        <v>1</v>
      </c>
      <c r="E49" s="11" t="s">
        <v>4</v>
      </c>
      <c r="F49" s="12">
        <v>49228</v>
      </c>
      <c r="G49" s="12">
        <v>49228</v>
      </c>
      <c r="H49" s="11" t="str">
        <f t="shared" si="1"/>
        <v>平成3年3月31日</v>
      </c>
      <c r="I49" s="22">
        <f t="shared" si="0"/>
        <v>33328</v>
      </c>
      <c r="J49" s="1" t="str">
        <f>"00737425"</f>
        <v>00737425</v>
      </c>
      <c r="K49" s="1" t="str">
        <f>"７３３　　　　　　　　　　　　　　　　　"</f>
        <v>７３３　　　　　　　　　　　　　　　　　</v>
      </c>
      <c r="L49" s="1"/>
    </row>
    <row r="50" spans="1:12" ht="18" customHeight="1" x14ac:dyDescent="0.15">
      <c r="A50" s="11">
        <v>529</v>
      </c>
      <c r="B50" s="11" t="s">
        <v>28</v>
      </c>
      <c r="C50" s="11" t="s">
        <v>143</v>
      </c>
      <c r="D50" s="11">
        <v>1</v>
      </c>
      <c r="E50" s="11" t="s">
        <v>4</v>
      </c>
      <c r="F50" s="12">
        <v>49228</v>
      </c>
      <c r="G50" s="12">
        <v>49228</v>
      </c>
      <c r="H50" s="11" t="str">
        <f t="shared" si="1"/>
        <v>平成3年3月31日</v>
      </c>
      <c r="I50" s="22">
        <f t="shared" si="0"/>
        <v>33328</v>
      </c>
      <c r="J50" s="1" t="str">
        <f>"00737427"</f>
        <v>00737427</v>
      </c>
      <c r="K50" s="1" t="str">
        <f>"７３４　　　　　　　　　　　　　　　　　"</f>
        <v>７３４　　　　　　　　　　　　　　　　　</v>
      </c>
      <c r="L50" s="1"/>
    </row>
    <row r="51" spans="1:12" ht="18" customHeight="1" x14ac:dyDescent="0.15">
      <c r="A51" s="11">
        <v>530</v>
      </c>
      <c r="B51" s="11" t="s">
        <v>28</v>
      </c>
      <c r="C51" s="11" t="s">
        <v>143</v>
      </c>
      <c r="D51" s="11">
        <v>1</v>
      </c>
      <c r="E51" s="11" t="s">
        <v>4</v>
      </c>
      <c r="F51" s="12">
        <v>49228</v>
      </c>
      <c r="G51" s="12">
        <v>49228</v>
      </c>
      <c r="H51" s="11" t="str">
        <f t="shared" si="1"/>
        <v>平成3年3月31日</v>
      </c>
      <c r="I51" s="22">
        <f t="shared" si="0"/>
        <v>33328</v>
      </c>
      <c r="J51" s="1" t="str">
        <f>"00737428"</f>
        <v>00737428</v>
      </c>
      <c r="K51" s="1" t="str">
        <f>"７３５　　　　　　　　　　　　　　　　　"</f>
        <v>７３５　　　　　　　　　　　　　　　　　</v>
      </c>
      <c r="L51" s="1"/>
    </row>
    <row r="52" spans="1:12" ht="18" customHeight="1" x14ac:dyDescent="0.15">
      <c r="A52" s="11">
        <v>531</v>
      </c>
      <c r="B52" s="11" t="s">
        <v>28</v>
      </c>
      <c r="C52" s="11" t="s">
        <v>143</v>
      </c>
      <c r="D52" s="11">
        <v>1</v>
      </c>
      <c r="E52" s="11" t="s">
        <v>4</v>
      </c>
      <c r="F52" s="12">
        <v>49228</v>
      </c>
      <c r="G52" s="12">
        <v>49228</v>
      </c>
      <c r="H52" s="11" t="str">
        <f t="shared" si="1"/>
        <v>平成3年3月31日</v>
      </c>
      <c r="I52" s="22">
        <f t="shared" si="0"/>
        <v>33328</v>
      </c>
      <c r="J52" s="1" t="str">
        <f>"00737430"</f>
        <v>00737430</v>
      </c>
      <c r="K52" s="1" t="str">
        <f>"７３６　　　　　　　　　　　　　　　　　"</f>
        <v>７３６　　　　　　　　　　　　　　　　　</v>
      </c>
      <c r="L52" s="1"/>
    </row>
    <row r="53" spans="1:12" ht="18" customHeight="1" x14ac:dyDescent="0.15">
      <c r="A53" s="11">
        <v>532</v>
      </c>
      <c r="B53" s="11" t="s">
        <v>28</v>
      </c>
      <c r="C53" s="11" t="s">
        <v>143</v>
      </c>
      <c r="D53" s="11">
        <v>1</v>
      </c>
      <c r="E53" s="11" t="s">
        <v>4</v>
      </c>
      <c r="F53" s="12">
        <v>49228</v>
      </c>
      <c r="G53" s="12">
        <v>49228</v>
      </c>
      <c r="H53" s="11" t="str">
        <f t="shared" si="1"/>
        <v>平成3年3月31日</v>
      </c>
      <c r="I53" s="22">
        <f t="shared" si="0"/>
        <v>33328</v>
      </c>
      <c r="J53" s="1" t="str">
        <f>"00737433"</f>
        <v>00737433</v>
      </c>
      <c r="K53" s="1" t="str">
        <f>"７３７　　　　　　　　　　　　　　　　　"</f>
        <v>７３７　　　　　　　　　　　　　　　　　</v>
      </c>
      <c r="L53" s="1"/>
    </row>
    <row r="54" spans="1:12" ht="18" customHeight="1" x14ac:dyDescent="0.15">
      <c r="A54" s="11">
        <v>533</v>
      </c>
      <c r="B54" s="11" t="s">
        <v>28</v>
      </c>
      <c r="C54" s="11" t="s">
        <v>143</v>
      </c>
      <c r="D54" s="11">
        <v>1</v>
      </c>
      <c r="E54" s="11" t="s">
        <v>4</v>
      </c>
      <c r="F54" s="12">
        <v>49228</v>
      </c>
      <c r="G54" s="12">
        <v>49228</v>
      </c>
      <c r="H54" s="11" t="str">
        <f t="shared" si="1"/>
        <v>平成3年3月31日</v>
      </c>
      <c r="I54" s="22">
        <f t="shared" si="0"/>
        <v>33328</v>
      </c>
      <c r="J54" s="1" t="str">
        <f>"00737434"</f>
        <v>00737434</v>
      </c>
      <c r="K54" s="1" t="str">
        <f>"７３８　　　　　　　　　　　　　　　　　"</f>
        <v>７３８　　　　　　　　　　　　　　　　　</v>
      </c>
      <c r="L54" s="1"/>
    </row>
    <row r="55" spans="1:12" ht="18" customHeight="1" x14ac:dyDescent="0.15">
      <c r="A55" s="11">
        <v>534</v>
      </c>
      <c r="B55" s="11" t="s">
        <v>28</v>
      </c>
      <c r="C55" s="11" t="s">
        <v>143</v>
      </c>
      <c r="D55" s="11">
        <v>1</v>
      </c>
      <c r="E55" s="11" t="s">
        <v>4</v>
      </c>
      <c r="F55" s="12">
        <v>49228</v>
      </c>
      <c r="G55" s="12">
        <v>49228</v>
      </c>
      <c r="H55" s="11" t="str">
        <f t="shared" si="1"/>
        <v>平成3年3月31日</v>
      </c>
      <c r="I55" s="22">
        <f t="shared" si="0"/>
        <v>33328</v>
      </c>
      <c r="J55" s="1" t="str">
        <f>"00737436"</f>
        <v>00737436</v>
      </c>
      <c r="K55" s="1" t="str">
        <f>"７３９　　　　　　　　　　　　　　　　　"</f>
        <v>７３９　　　　　　　　　　　　　　　　　</v>
      </c>
      <c r="L55" s="1"/>
    </row>
    <row r="56" spans="1:12" ht="18" customHeight="1" x14ac:dyDescent="0.15">
      <c r="A56" s="11">
        <v>535</v>
      </c>
      <c r="B56" s="11" t="s">
        <v>28</v>
      </c>
      <c r="C56" s="11" t="s">
        <v>143</v>
      </c>
      <c r="D56" s="11">
        <v>1</v>
      </c>
      <c r="E56" s="11" t="s">
        <v>4</v>
      </c>
      <c r="F56" s="12">
        <v>49228</v>
      </c>
      <c r="G56" s="12">
        <v>49228</v>
      </c>
      <c r="H56" s="11" t="str">
        <f t="shared" si="1"/>
        <v>平成3年3月31日</v>
      </c>
      <c r="I56" s="22">
        <f t="shared" si="0"/>
        <v>33328</v>
      </c>
      <c r="J56" s="1" t="str">
        <f>"00737439"</f>
        <v>00737439</v>
      </c>
      <c r="K56" s="1" t="str">
        <f>"７４０　　　　　　　　　　　　　　　　　"</f>
        <v>７４０　　　　　　　　　　　　　　　　　</v>
      </c>
      <c r="L56" s="1"/>
    </row>
    <row r="57" spans="1:12" ht="18" customHeight="1" x14ac:dyDescent="0.15">
      <c r="A57" s="11">
        <v>536</v>
      </c>
      <c r="B57" s="11" t="s">
        <v>28</v>
      </c>
      <c r="C57" s="11" t="s">
        <v>143</v>
      </c>
      <c r="D57" s="11">
        <v>1</v>
      </c>
      <c r="E57" s="11" t="s">
        <v>4</v>
      </c>
      <c r="F57" s="12">
        <v>49228</v>
      </c>
      <c r="G57" s="12">
        <v>49228</v>
      </c>
      <c r="H57" s="11" t="str">
        <f t="shared" si="1"/>
        <v>平成3年3月31日</v>
      </c>
      <c r="I57" s="22">
        <f t="shared" si="0"/>
        <v>33328</v>
      </c>
      <c r="J57" s="1" t="str">
        <f>"00737440"</f>
        <v>00737440</v>
      </c>
      <c r="K57" s="1" t="str">
        <f>"７４１　　　　　　　　　　　　　　　　　"</f>
        <v>７４１　　　　　　　　　　　　　　　　　</v>
      </c>
      <c r="L57" s="1"/>
    </row>
    <row r="58" spans="1:12" ht="18" customHeight="1" x14ac:dyDescent="0.15">
      <c r="A58" s="11">
        <v>537</v>
      </c>
      <c r="B58" s="11" t="s">
        <v>28</v>
      </c>
      <c r="C58" s="11" t="s">
        <v>143</v>
      </c>
      <c r="D58" s="11">
        <v>1</v>
      </c>
      <c r="E58" s="11" t="s">
        <v>4</v>
      </c>
      <c r="F58" s="12">
        <v>49228</v>
      </c>
      <c r="G58" s="12">
        <v>49228</v>
      </c>
      <c r="H58" s="11" t="str">
        <f t="shared" si="1"/>
        <v>平成3年3月31日</v>
      </c>
      <c r="I58" s="22">
        <f t="shared" si="0"/>
        <v>33328</v>
      </c>
      <c r="J58" s="1" t="str">
        <f>"00737443"</f>
        <v>00737443</v>
      </c>
      <c r="K58" s="1" t="str">
        <f>"７４２　　　　　　　　　　　　　　　　　"</f>
        <v>７４２　　　　　　　　　　　　　　　　　</v>
      </c>
      <c r="L58" s="1"/>
    </row>
    <row r="59" spans="1:12" ht="18" customHeight="1" x14ac:dyDescent="0.15">
      <c r="A59" s="11">
        <v>538</v>
      </c>
      <c r="B59" s="11" t="s">
        <v>28</v>
      </c>
      <c r="C59" s="11" t="s">
        <v>143</v>
      </c>
      <c r="D59" s="11">
        <v>1</v>
      </c>
      <c r="E59" s="11" t="s">
        <v>4</v>
      </c>
      <c r="F59" s="12">
        <v>49228</v>
      </c>
      <c r="G59" s="12">
        <v>49228</v>
      </c>
      <c r="H59" s="11" t="str">
        <f t="shared" si="1"/>
        <v>平成3年3月31日</v>
      </c>
      <c r="I59" s="22">
        <f t="shared" si="0"/>
        <v>33328</v>
      </c>
      <c r="J59" s="1" t="str">
        <f>"00737444"</f>
        <v>00737444</v>
      </c>
      <c r="K59" s="1" t="str">
        <f>"７４３　　　　　　　　　　　　　　　　　"</f>
        <v>７４３　　　　　　　　　　　　　　　　　</v>
      </c>
      <c r="L59" s="1"/>
    </row>
    <row r="60" spans="1:12" ht="18" customHeight="1" x14ac:dyDescent="0.15">
      <c r="A60" s="11">
        <v>539</v>
      </c>
      <c r="B60" s="11" t="s">
        <v>28</v>
      </c>
      <c r="C60" s="11" t="s">
        <v>143</v>
      </c>
      <c r="D60" s="11">
        <v>1</v>
      </c>
      <c r="E60" s="11" t="s">
        <v>4</v>
      </c>
      <c r="F60" s="12">
        <v>49228</v>
      </c>
      <c r="G60" s="12">
        <v>49228</v>
      </c>
      <c r="H60" s="11" t="str">
        <f t="shared" si="1"/>
        <v>平成3年3月31日</v>
      </c>
      <c r="I60" s="22">
        <f t="shared" si="0"/>
        <v>33328</v>
      </c>
      <c r="J60" s="1" t="str">
        <f>"00737446"</f>
        <v>00737446</v>
      </c>
      <c r="K60" s="1" t="str">
        <f>"７４４　　　　　　　　　　　　　　　　　"</f>
        <v>７４４　　　　　　　　　　　　　　　　　</v>
      </c>
      <c r="L60" s="1"/>
    </row>
    <row r="61" spans="1:12" ht="18" customHeight="1" x14ac:dyDescent="0.15">
      <c r="A61" s="11">
        <v>540</v>
      </c>
      <c r="B61" s="11" t="s">
        <v>28</v>
      </c>
      <c r="C61" s="11" t="s">
        <v>143</v>
      </c>
      <c r="D61" s="11">
        <v>1</v>
      </c>
      <c r="E61" s="11" t="s">
        <v>4</v>
      </c>
      <c r="F61" s="12">
        <v>49228</v>
      </c>
      <c r="G61" s="12">
        <v>49228</v>
      </c>
      <c r="H61" s="11" t="str">
        <f t="shared" si="1"/>
        <v>平成3年3月31日</v>
      </c>
      <c r="I61" s="22">
        <f t="shared" si="0"/>
        <v>33328</v>
      </c>
      <c r="J61" s="1" t="str">
        <f>"00737449"</f>
        <v>00737449</v>
      </c>
      <c r="K61" s="1" t="str">
        <f>"７４５　　　　　　　　　　　　　　　　　"</f>
        <v>７４５　　　　　　　　　　　　　　　　　</v>
      </c>
      <c r="L61" s="1"/>
    </row>
    <row r="62" spans="1:12" ht="18" customHeight="1" x14ac:dyDescent="0.15">
      <c r="A62" s="11">
        <v>541</v>
      </c>
      <c r="B62" s="11" t="s">
        <v>28</v>
      </c>
      <c r="C62" s="11" t="s">
        <v>143</v>
      </c>
      <c r="D62" s="11">
        <v>1</v>
      </c>
      <c r="E62" s="11" t="s">
        <v>4</v>
      </c>
      <c r="F62" s="12">
        <v>49228</v>
      </c>
      <c r="G62" s="12">
        <v>49228</v>
      </c>
      <c r="H62" s="11" t="str">
        <f t="shared" si="1"/>
        <v>平成3年3月31日</v>
      </c>
      <c r="I62" s="22">
        <f t="shared" si="0"/>
        <v>33328</v>
      </c>
      <c r="J62" s="1" t="str">
        <f>"00737451"</f>
        <v>00737451</v>
      </c>
      <c r="K62" s="1" t="str">
        <f>"７４６　　　　　　　　　　　　　　　　　"</f>
        <v>７４６　　　　　　　　　　　　　　　　　</v>
      </c>
      <c r="L62" s="1"/>
    </row>
    <row r="63" spans="1:12" ht="18" customHeight="1" x14ac:dyDescent="0.15">
      <c r="A63" s="11">
        <v>542</v>
      </c>
      <c r="B63" s="11" t="s">
        <v>28</v>
      </c>
      <c r="C63" s="11" t="s">
        <v>143</v>
      </c>
      <c r="D63" s="11">
        <v>1</v>
      </c>
      <c r="E63" s="11" t="s">
        <v>4</v>
      </c>
      <c r="F63" s="12">
        <v>49228</v>
      </c>
      <c r="G63" s="12">
        <v>49228</v>
      </c>
      <c r="H63" s="11" t="str">
        <f t="shared" si="1"/>
        <v>平成3年3月31日</v>
      </c>
      <c r="I63" s="22">
        <f t="shared" si="0"/>
        <v>33328</v>
      </c>
      <c r="J63" s="1" t="str">
        <f>"00737453"</f>
        <v>00737453</v>
      </c>
      <c r="K63" s="1" t="str">
        <f>"７４７　　　　　　　　　　　　　　　　　"</f>
        <v>７４７　　　　　　　　　　　　　　　　　</v>
      </c>
      <c r="L63" s="1"/>
    </row>
    <row r="64" spans="1:12" ht="18" customHeight="1" x14ac:dyDescent="0.15">
      <c r="A64" s="11">
        <v>543</v>
      </c>
      <c r="B64" s="11" t="s">
        <v>28</v>
      </c>
      <c r="C64" s="11" t="s">
        <v>143</v>
      </c>
      <c r="D64" s="11">
        <v>1</v>
      </c>
      <c r="E64" s="11" t="s">
        <v>4</v>
      </c>
      <c r="F64" s="12">
        <v>49228</v>
      </c>
      <c r="G64" s="12">
        <v>49228</v>
      </c>
      <c r="H64" s="11" t="str">
        <f t="shared" si="1"/>
        <v>平成3年3月31日</v>
      </c>
      <c r="I64" s="22">
        <f t="shared" si="0"/>
        <v>33328</v>
      </c>
      <c r="J64" s="1" t="str">
        <f>"00737455"</f>
        <v>00737455</v>
      </c>
      <c r="K64" s="1" t="str">
        <f>"７４８　　　　　　　　　　　　　　　　　"</f>
        <v>７４８　　　　　　　　　　　　　　　　　</v>
      </c>
      <c r="L64" s="1"/>
    </row>
    <row r="65" spans="1:12" ht="18" customHeight="1" x14ac:dyDescent="0.15">
      <c r="A65" s="11">
        <v>544</v>
      </c>
      <c r="B65" s="11" t="s">
        <v>28</v>
      </c>
      <c r="C65" s="11" t="s">
        <v>143</v>
      </c>
      <c r="D65" s="11">
        <v>1</v>
      </c>
      <c r="E65" s="11" t="s">
        <v>4</v>
      </c>
      <c r="F65" s="12">
        <v>49228</v>
      </c>
      <c r="G65" s="12">
        <v>49228</v>
      </c>
      <c r="H65" s="11" t="str">
        <f t="shared" si="1"/>
        <v>平成3年3月31日</v>
      </c>
      <c r="I65" s="22">
        <f t="shared" si="0"/>
        <v>33328</v>
      </c>
      <c r="J65" s="1" t="str">
        <f>"00737457"</f>
        <v>00737457</v>
      </c>
      <c r="K65" s="1" t="str">
        <f>"７４９　　　　　　　　　　　　　　　　　"</f>
        <v>７４９　　　　　　　　　　　　　　　　　</v>
      </c>
      <c r="L65" s="1"/>
    </row>
    <row r="66" spans="1:12" ht="18" customHeight="1" x14ac:dyDescent="0.15">
      <c r="A66" s="11">
        <v>545</v>
      </c>
      <c r="B66" s="11" t="s">
        <v>28</v>
      </c>
      <c r="C66" s="11" t="s">
        <v>143</v>
      </c>
      <c r="D66" s="11">
        <v>1</v>
      </c>
      <c r="E66" s="11" t="s">
        <v>4</v>
      </c>
      <c r="F66" s="12">
        <v>49228</v>
      </c>
      <c r="G66" s="12">
        <v>49228</v>
      </c>
      <c r="H66" s="11" t="str">
        <f t="shared" si="1"/>
        <v>平成3年3月31日</v>
      </c>
      <c r="I66" s="22">
        <f t="shared" si="0"/>
        <v>33328</v>
      </c>
      <c r="J66" s="1" t="str">
        <f>"00737459"</f>
        <v>00737459</v>
      </c>
      <c r="K66" s="1" t="str">
        <f>"７５０　　　　　　　　　　　　　　　　　"</f>
        <v>７５０　　　　　　　　　　　　　　　　　</v>
      </c>
      <c r="L66" s="1"/>
    </row>
    <row r="67" spans="1:12" ht="18" customHeight="1" x14ac:dyDescent="0.15">
      <c r="A67" s="11">
        <v>546</v>
      </c>
      <c r="B67" s="11" t="s">
        <v>28</v>
      </c>
      <c r="C67" s="11" t="s">
        <v>143</v>
      </c>
      <c r="D67" s="11">
        <v>1</v>
      </c>
      <c r="E67" s="11" t="s">
        <v>4</v>
      </c>
      <c r="F67" s="12">
        <v>49228</v>
      </c>
      <c r="G67" s="12">
        <v>49228</v>
      </c>
      <c r="H67" s="11" t="str">
        <f t="shared" si="1"/>
        <v>平成3年3月31日</v>
      </c>
      <c r="I67" s="22">
        <f t="shared" si="0"/>
        <v>33328</v>
      </c>
      <c r="J67" s="1" t="str">
        <f>"00737461"</f>
        <v>00737461</v>
      </c>
      <c r="K67" s="1" t="str">
        <f>"７５１　　　　　　　　　　　　　　　　　"</f>
        <v>７５１　　　　　　　　　　　　　　　　　</v>
      </c>
      <c r="L67" s="1"/>
    </row>
    <row r="68" spans="1:12" ht="18" customHeight="1" x14ac:dyDescent="0.15">
      <c r="A68" s="11">
        <v>547</v>
      </c>
      <c r="B68" s="11" t="s">
        <v>28</v>
      </c>
      <c r="C68" s="11" t="s">
        <v>143</v>
      </c>
      <c r="D68" s="11">
        <v>1</v>
      </c>
      <c r="E68" s="11" t="s">
        <v>4</v>
      </c>
      <c r="F68" s="12">
        <v>49228</v>
      </c>
      <c r="G68" s="12">
        <v>49228</v>
      </c>
      <c r="H68" s="11" t="str">
        <f t="shared" si="1"/>
        <v>平成3年3月31日</v>
      </c>
      <c r="I68" s="22">
        <f t="shared" si="0"/>
        <v>33328</v>
      </c>
      <c r="J68" s="1" t="str">
        <f>"00737463"</f>
        <v>00737463</v>
      </c>
      <c r="K68" s="1" t="str">
        <f>"７５２　　　　　　　　　　　　　　　　　"</f>
        <v>７５２　　　　　　　　　　　　　　　　　</v>
      </c>
      <c r="L68" s="1"/>
    </row>
    <row r="69" spans="1:12" ht="18" customHeight="1" x14ac:dyDescent="0.15">
      <c r="A69" s="11">
        <v>548</v>
      </c>
      <c r="B69" s="11" t="s">
        <v>28</v>
      </c>
      <c r="C69" s="11" t="s">
        <v>143</v>
      </c>
      <c r="D69" s="11">
        <v>1</v>
      </c>
      <c r="E69" s="11" t="s">
        <v>4</v>
      </c>
      <c r="F69" s="12">
        <v>49228</v>
      </c>
      <c r="G69" s="12">
        <v>49228</v>
      </c>
      <c r="H69" s="11" t="str">
        <f t="shared" si="1"/>
        <v>平成3年3月31日</v>
      </c>
      <c r="I69" s="22">
        <f t="shared" si="0"/>
        <v>33328</v>
      </c>
      <c r="J69" s="1" t="str">
        <f>"00737465"</f>
        <v>00737465</v>
      </c>
      <c r="K69" s="1" t="str">
        <f>"７５３　　　　　　　　　　　　　　　　　"</f>
        <v>７５３　　　　　　　　　　　　　　　　　</v>
      </c>
      <c r="L69" s="1"/>
    </row>
    <row r="70" spans="1:12" ht="18" customHeight="1" x14ac:dyDescent="0.15">
      <c r="A70" s="11">
        <v>549</v>
      </c>
      <c r="B70" s="11" t="s">
        <v>28</v>
      </c>
      <c r="C70" s="11" t="s">
        <v>143</v>
      </c>
      <c r="D70" s="11">
        <v>1</v>
      </c>
      <c r="E70" s="11" t="s">
        <v>4</v>
      </c>
      <c r="F70" s="12">
        <v>49228</v>
      </c>
      <c r="G70" s="12">
        <v>49228</v>
      </c>
      <c r="H70" s="11" t="str">
        <f t="shared" si="1"/>
        <v>平成3年3月31日</v>
      </c>
      <c r="I70" s="22">
        <f t="shared" si="0"/>
        <v>33328</v>
      </c>
      <c r="J70" s="1" t="str">
        <f>"00737467"</f>
        <v>00737467</v>
      </c>
      <c r="K70" s="1" t="str">
        <f>"７５４　　　　　　　　　　　　　　　　　"</f>
        <v>７５４　　　　　　　　　　　　　　　　　</v>
      </c>
      <c r="L70" s="1"/>
    </row>
    <row r="71" spans="1:12" ht="18" customHeight="1" x14ac:dyDescent="0.15">
      <c r="A71" s="11">
        <v>550</v>
      </c>
      <c r="B71" s="11" t="s">
        <v>28</v>
      </c>
      <c r="C71" s="11" t="s">
        <v>143</v>
      </c>
      <c r="D71" s="11">
        <v>1</v>
      </c>
      <c r="E71" s="11" t="s">
        <v>4</v>
      </c>
      <c r="F71" s="12">
        <v>49228</v>
      </c>
      <c r="G71" s="12">
        <v>49228</v>
      </c>
      <c r="H71" s="11" t="str">
        <f t="shared" si="1"/>
        <v>平成3年3月31日</v>
      </c>
      <c r="I71" s="22">
        <f t="shared" si="0"/>
        <v>33328</v>
      </c>
      <c r="J71" s="1" t="str">
        <f>"00737469"</f>
        <v>00737469</v>
      </c>
      <c r="K71" s="1" t="str">
        <f>"７５５　　　　　　　　　　　　　　　　　"</f>
        <v>７５５　　　　　　　　　　　　　　　　　</v>
      </c>
      <c r="L71" s="1"/>
    </row>
    <row r="72" spans="1:12" ht="18" customHeight="1" x14ac:dyDescent="0.15">
      <c r="A72" s="11">
        <v>551</v>
      </c>
      <c r="B72" s="11" t="s">
        <v>28</v>
      </c>
      <c r="C72" s="11" t="s">
        <v>143</v>
      </c>
      <c r="D72" s="11">
        <v>1</v>
      </c>
      <c r="E72" s="11" t="s">
        <v>4</v>
      </c>
      <c r="F72" s="12">
        <v>49228</v>
      </c>
      <c r="G72" s="12">
        <v>49228</v>
      </c>
      <c r="H72" s="11" t="str">
        <f t="shared" si="1"/>
        <v>平成3年3月31日</v>
      </c>
      <c r="I72" s="22">
        <f t="shared" si="0"/>
        <v>33328</v>
      </c>
      <c r="J72" s="1" t="str">
        <f>"00737471"</f>
        <v>00737471</v>
      </c>
      <c r="K72" s="1" t="str">
        <f>"７５６　　　　　　　　　　　　　　　　　"</f>
        <v>７５６　　　　　　　　　　　　　　　　　</v>
      </c>
      <c r="L72" s="1"/>
    </row>
    <row r="73" spans="1:12" ht="18" customHeight="1" x14ac:dyDescent="0.15">
      <c r="A73" s="11">
        <v>552</v>
      </c>
      <c r="B73" s="11" t="s">
        <v>28</v>
      </c>
      <c r="C73" s="11" t="s">
        <v>143</v>
      </c>
      <c r="D73" s="11">
        <v>1</v>
      </c>
      <c r="E73" s="11" t="s">
        <v>4</v>
      </c>
      <c r="F73" s="12">
        <v>49228</v>
      </c>
      <c r="G73" s="12">
        <v>49228</v>
      </c>
      <c r="H73" s="11" t="str">
        <f t="shared" si="1"/>
        <v>平成3年3月31日</v>
      </c>
      <c r="I73" s="22">
        <f t="shared" si="0"/>
        <v>33328</v>
      </c>
      <c r="J73" s="1" t="str">
        <f>"00737473"</f>
        <v>00737473</v>
      </c>
      <c r="K73" s="1" t="str">
        <f>"７５７　　　　　　　　　　　　　　　　　"</f>
        <v>７５７　　　　　　　　　　　　　　　　　</v>
      </c>
      <c r="L73" s="1"/>
    </row>
    <row r="74" spans="1:12" ht="18" customHeight="1" x14ac:dyDescent="0.15">
      <c r="A74" s="11">
        <v>553</v>
      </c>
      <c r="B74" s="11" t="s">
        <v>28</v>
      </c>
      <c r="C74" s="11" t="s">
        <v>143</v>
      </c>
      <c r="D74" s="11">
        <v>1</v>
      </c>
      <c r="E74" s="11" t="s">
        <v>4</v>
      </c>
      <c r="F74" s="12">
        <v>49228</v>
      </c>
      <c r="G74" s="12">
        <v>49228</v>
      </c>
      <c r="H74" s="11" t="str">
        <f t="shared" si="1"/>
        <v>平成3年3月31日</v>
      </c>
      <c r="I74" s="22">
        <f t="shared" si="0"/>
        <v>33328</v>
      </c>
      <c r="J74" s="1" t="str">
        <f>"00737475"</f>
        <v>00737475</v>
      </c>
      <c r="K74" s="1" t="str">
        <f>"７５８　　　　　　　　　　　　　　　　　"</f>
        <v>７５８　　　　　　　　　　　　　　　　　</v>
      </c>
      <c r="L74" s="1"/>
    </row>
    <row r="75" spans="1:12" ht="18" customHeight="1" x14ac:dyDescent="0.15">
      <c r="A75" s="11">
        <v>554</v>
      </c>
      <c r="B75" s="11" t="s">
        <v>28</v>
      </c>
      <c r="C75" s="11" t="s">
        <v>143</v>
      </c>
      <c r="D75" s="11">
        <v>1</v>
      </c>
      <c r="E75" s="11" t="s">
        <v>4</v>
      </c>
      <c r="F75" s="12">
        <v>49228</v>
      </c>
      <c r="G75" s="12">
        <v>49228</v>
      </c>
      <c r="H75" s="11" t="str">
        <f t="shared" si="1"/>
        <v>平成3年3月31日</v>
      </c>
      <c r="I75" s="22">
        <f t="shared" si="0"/>
        <v>33328</v>
      </c>
      <c r="J75" s="1" t="str">
        <f>"00737477"</f>
        <v>00737477</v>
      </c>
      <c r="K75" s="1" t="str">
        <f>"７５９　　　　　　　　　　　　　　　　　"</f>
        <v>７５９　　　　　　　　　　　　　　　　　</v>
      </c>
      <c r="L75" s="1"/>
    </row>
    <row r="76" spans="1:12" ht="18" customHeight="1" x14ac:dyDescent="0.15">
      <c r="A76" s="11">
        <v>555</v>
      </c>
      <c r="B76" s="11" t="s">
        <v>28</v>
      </c>
      <c r="C76" s="11" t="s">
        <v>143</v>
      </c>
      <c r="D76" s="11">
        <v>1</v>
      </c>
      <c r="E76" s="11" t="s">
        <v>4</v>
      </c>
      <c r="F76" s="12">
        <v>49228</v>
      </c>
      <c r="G76" s="12">
        <v>49228</v>
      </c>
      <c r="H76" s="11" t="str">
        <f t="shared" si="1"/>
        <v>平成3年3月31日</v>
      </c>
      <c r="I76" s="22">
        <f t="shared" si="0"/>
        <v>33328</v>
      </c>
      <c r="J76" s="1" t="str">
        <f>"00737479"</f>
        <v>00737479</v>
      </c>
      <c r="K76" s="1" t="str">
        <f>"７６０　　　　　　　　　　　　　　　　　"</f>
        <v>７６０　　　　　　　　　　　　　　　　　</v>
      </c>
      <c r="L76" s="1"/>
    </row>
    <row r="77" spans="1:12" ht="18" customHeight="1" x14ac:dyDescent="0.15">
      <c r="A77" s="11">
        <v>556</v>
      </c>
      <c r="B77" s="11" t="s">
        <v>28</v>
      </c>
      <c r="C77" s="11" t="s">
        <v>143</v>
      </c>
      <c r="D77" s="11">
        <v>1</v>
      </c>
      <c r="E77" s="11" t="s">
        <v>4</v>
      </c>
      <c r="F77" s="12">
        <v>49228</v>
      </c>
      <c r="G77" s="12">
        <v>49228</v>
      </c>
      <c r="H77" s="11" t="str">
        <f t="shared" si="1"/>
        <v>平成3年3月31日</v>
      </c>
      <c r="I77" s="22">
        <f t="shared" si="0"/>
        <v>33328</v>
      </c>
      <c r="J77" s="1" t="str">
        <f>"00737481"</f>
        <v>00737481</v>
      </c>
      <c r="K77" s="1" t="str">
        <f>"７６１　　　　　　　　　　　　　　　　　"</f>
        <v>７６１　　　　　　　　　　　　　　　　　</v>
      </c>
      <c r="L77" s="1"/>
    </row>
    <row r="78" spans="1:12" ht="18" customHeight="1" x14ac:dyDescent="0.15">
      <c r="A78" s="11">
        <v>557</v>
      </c>
      <c r="B78" s="11" t="s">
        <v>28</v>
      </c>
      <c r="C78" s="11" t="s">
        <v>143</v>
      </c>
      <c r="D78" s="11">
        <v>1</v>
      </c>
      <c r="E78" s="11" t="s">
        <v>4</v>
      </c>
      <c r="F78" s="12">
        <v>49228</v>
      </c>
      <c r="G78" s="12">
        <v>49228</v>
      </c>
      <c r="H78" s="11" t="str">
        <f t="shared" si="1"/>
        <v>平成3年3月31日</v>
      </c>
      <c r="I78" s="22">
        <f t="shared" si="0"/>
        <v>33328</v>
      </c>
      <c r="J78" s="1" t="str">
        <f>"00737483"</f>
        <v>00737483</v>
      </c>
      <c r="K78" s="1" t="str">
        <f>"７６２　　　　　　　　　　　　　　　　　"</f>
        <v>７６２　　　　　　　　　　　　　　　　　</v>
      </c>
      <c r="L78" s="1"/>
    </row>
    <row r="79" spans="1:12" ht="18" customHeight="1" x14ac:dyDescent="0.15">
      <c r="A79" s="11">
        <v>558</v>
      </c>
      <c r="B79" s="11" t="s">
        <v>28</v>
      </c>
      <c r="C79" s="11" t="s">
        <v>143</v>
      </c>
      <c r="D79" s="11">
        <v>1</v>
      </c>
      <c r="E79" s="11" t="s">
        <v>4</v>
      </c>
      <c r="F79" s="12">
        <v>49228</v>
      </c>
      <c r="G79" s="12">
        <v>49228</v>
      </c>
      <c r="H79" s="11" t="str">
        <f t="shared" ref="H79:H142" si="6">"平成3年3月31日"</f>
        <v>平成3年3月31日</v>
      </c>
      <c r="I79" s="22">
        <f t="shared" si="0"/>
        <v>33328</v>
      </c>
      <c r="J79" s="1" t="str">
        <f>"00737485"</f>
        <v>00737485</v>
      </c>
      <c r="K79" s="1" t="str">
        <f>"７６３　　　　　　　　　　　　　　　　　"</f>
        <v>７６３　　　　　　　　　　　　　　　　　</v>
      </c>
      <c r="L79" s="1"/>
    </row>
    <row r="80" spans="1:12" ht="18" customHeight="1" x14ac:dyDescent="0.15">
      <c r="A80" s="11">
        <v>3706</v>
      </c>
      <c r="B80" s="11" t="s">
        <v>202</v>
      </c>
      <c r="C80" s="11" t="s">
        <v>203</v>
      </c>
      <c r="D80" s="11">
        <v>1</v>
      </c>
      <c r="E80" s="11" t="s">
        <v>4</v>
      </c>
      <c r="F80" s="12">
        <v>80710</v>
      </c>
      <c r="G80" s="12">
        <v>80710</v>
      </c>
      <c r="H80" s="11" t="str">
        <f t="shared" si="6"/>
        <v>平成3年3月31日</v>
      </c>
      <c r="I80" s="22">
        <f t="shared" si="0"/>
        <v>33328</v>
      </c>
      <c r="J80" s="1" t="str">
        <f>"00743843"</f>
        <v>00743843</v>
      </c>
      <c r="K80" s="1" t="str">
        <f>"３０１　　　　　　　　　　　　　　　　　"</f>
        <v>３０１　　　　　　　　　　　　　　　　　</v>
      </c>
      <c r="L80" s="1"/>
    </row>
    <row r="81" spans="1:12" ht="18" customHeight="1" x14ac:dyDescent="0.15">
      <c r="A81" s="11">
        <v>3707</v>
      </c>
      <c r="B81" s="11" t="s">
        <v>202</v>
      </c>
      <c r="C81" s="11" t="s">
        <v>203</v>
      </c>
      <c r="D81" s="11">
        <v>1</v>
      </c>
      <c r="E81" s="11" t="s">
        <v>4</v>
      </c>
      <c r="F81" s="12">
        <v>80710</v>
      </c>
      <c r="G81" s="12">
        <v>80710</v>
      </c>
      <c r="H81" s="11" t="str">
        <f t="shared" si="6"/>
        <v>平成3年3月31日</v>
      </c>
      <c r="I81" s="22">
        <f t="shared" si="0"/>
        <v>33328</v>
      </c>
      <c r="J81" s="1" t="str">
        <f>"00743844"</f>
        <v>00743844</v>
      </c>
      <c r="K81" s="1" t="str">
        <f>"３０２　　　　　　　　　　　　　　　　　"</f>
        <v>３０２　　　　　　　　　　　　　　　　　</v>
      </c>
      <c r="L81" s="1"/>
    </row>
    <row r="82" spans="1:12" ht="18" customHeight="1" x14ac:dyDescent="0.15">
      <c r="A82" s="11">
        <v>3708</v>
      </c>
      <c r="B82" s="11" t="s">
        <v>202</v>
      </c>
      <c r="C82" s="11" t="s">
        <v>203</v>
      </c>
      <c r="D82" s="11">
        <v>1</v>
      </c>
      <c r="E82" s="11" t="s">
        <v>4</v>
      </c>
      <c r="F82" s="12">
        <v>80710</v>
      </c>
      <c r="G82" s="12">
        <v>80710</v>
      </c>
      <c r="H82" s="11" t="str">
        <f t="shared" si="6"/>
        <v>平成3年3月31日</v>
      </c>
      <c r="I82" s="22">
        <f t="shared" ref="I82:I145" si="7">DATEVALUE(H82)</f>
        <v>33328</v>
      </c>
      <c r="J82" s="1" t="str">
        <f>"00743846"</f>
        <v>00743846</v>
      </c>
      <c r="K82" s="1" t="str">
        <f>"３０３　　　　　　　　　　　　　　　　　"</f>
        <v>３０３　　　　　　　　　　　　　　　　　</v>
      </c>
      <c r="L82" s="1"/>
    </row>
    <row r="83" spans="1:12" ht="18" customHeight="1" x14ac:dyDescent="0.15">
      <c r="A83" s="11">
        <v>3709</v>
      </c>
      <c r="B83" s="11" t="s">
        <v>202</v>
      </c>
      <c r="C83" s="11" t="s">
        <v>203</v>
      </c>
      <c r="D83" s="11">
        <v>1</v>
      </c>
      <c r="E83" s="11" t="s">
        <v>4</v>
      </c>
      <c r="F83" s="12">
        <v>80710</v>
      </c>
      <c r="G83" s="12">
        <v>80710</v>
      </c>
      <c r="H83" s="11" t="str">
        <f t="shared" si="6"/>
        <v>平成3年3月31日</v>
      </c>
      <c r="I83" s="22">
        <f t="shared" si="7"/>
        <v>33328</v>
      </c>
      <c r="J83" s="1" t="str">
        <f>"00743849"</f>
        <v>00743849</v>
      </c>
      <c r="K83" s="1" t="str">
        <f>"３０４　　　　　　　　　　　　　　　　　"</f>
        <v>３０４　　　　　　　　　　　　　　　　　</v>
      </c>
      <c r="L83" s="1"/>
    </row>
    <row r="84" spans="1:12" ht="18" customHeight="1" x14ac:dyDescent="0.15">
      <c r="A84" s="11">
        <v>3710</v>
      </c>
      <c r="B84" s="11" t="s">
        <v>202</v>
      </c>
      <c r="C84" s="11" t="s">
        <v>203</v>
      </c>
      <c r="D84" s="11">
        <v>1</v>
      </c>
      <c r="E84" s="11" t="s">
        <v>4</v>
      </c>
      <c r="F84" s="12">
        <v>80710</v>
      </c>
      <c r="G84" s="12">
        <v>80710</v>
      </c>
      <c r="H84" s="11" t="str">
        <f t="shared" si="6"/>
        <v>平成3年3月31日</v>
      </c>
      <c r="I84" s="22">
        <f t="shared" si="7"/>
        <v>33328</v>
      </c>
      <c r="J84" s="1" t="str">
        <f>"00743851"</f>
        <v>00743851</v>
      </c>
      <c r="K84" s="1" t="str">
        <f>"３０５　　　　　　　　　　　　　　　　　"</f>
        <v>３０５　　　　　　　　　　　　　　　　　</v>
      </c>
      <c r="L84" s="1"/>
    </row>
    <row r="85" spans="1:12" ht="18" customHeight="1" x14ac:dyDescent="0.15">
      <c r="A85" s="11">
        <v>3711</v>
      </c>
      <c r="B85" s="11" t="s">
        <v>202</v>
      </c>
      <c r="C85" s="11" t="s">
        <v>203</v>
      </c>
      <c r="D85" s="11">
        <v>1</v>
      </c>
      <c r="E85" s="11" t="s">
        <v>4</v>
      </c>
      <c r="F85" s="12">
        <v>80710</v>
      </c>
      <c r="G85" s="12">
        <v>80710</v>
      </c>
      <c r="H85" s="11" t="str">
        <f t="shared" si="6"/>
        <v>平成3年3月31日</v>
      </c>
      <c r="I85" s="22">
        <f t="shared" si="7"/>
        <v>33328</v>
      </c>
      <c r="J85" s="1" t="str">
        <f>"00743853"</f>
        <v>00743853</v>
      </c>
      <c r="K85" s="1" t="str">
        <f>"３０６　　　　　　　　　　　　　　　　　"</f>
        <v>３０６　　　　　　　　　　　　　　　　　</v>
      </c>
      <c r="L85" s="1"/>
    </row>
    <row r="86" spans="1:12" ht="18" customHeight="1" x14ac:dyDescent="0.15">
      <c r="A86" s="11">
        <v>3712</v>
      </c>
      <c r="B86" s="11" t="s">
        <v>202</v>
      </c>
      <c r="C86" s="11" t="s">
        <v>203</v>
      </c>
      <c r="D86" s="11">
        <v>1</v>
      </c>
      <c r="E86" s="11" t="s">
        <v>4</v>
      </c>
      <c r="F86" s="12">
        <v>80710</v>
      </c>
      <c r="G86" s="12">
        <v>80710</v>
      </c>
      <c r="H86" s="11" t="str">
        <f t="shared" si="6"/>
        <v>平成3年3月31日</v>
      </c>
      <c r="I86" s="22">
        <f t="shared" si="7"/>
        <v>33328</v>
      </c>
      <c r="J86" s="1" t="str">
        <f>"00743855"</f>
        <v>00743855</v>
      </c>
      <c r="K86" s="1" t="str">
        <f>"３０７　　　　　　　　　　　　　　　　　"</f>
        <v>３０７　　　　　　　　　　　　　　　　　</v>
      </c>
      <c r="L86" s="1"/>
    </row>
    <row r="87" spans="1:12" ht="18" customHeight="1" x14ac:dyDescent="0.15">
      <c r="A87" s="11">
        <v>3713</v>
      </c>
      <c r="B87" s="11" t="s">
        <v>202</v>
      </c>
      <c r="C87" s="11" t="s">
        <v>203</v>
      </c>
      <c r="D87" s="11">
        <v>1</v>
      </c>
      <c r="E87" s="11" t="s">
        <v>4</v>
      </c>
      <c r="F87" s="12">
        <v>80710</v>
      </c>
      <c r="G87" s="12">
        <v>80710</v>
      </c>
      <c r="H87" s="11" t="str">
        <f t="shared" si="6"/>
        <v>平成3年3月31日</v>
      </c>
      <c r="I87" s="22">
        <f t="shared" si="7"/>
        <v>33328</v>
      </c>
      <c r="J87" s="1" t="str">
        <f>"00743857"</f>
        <v>00743857</v>
      </c>
      <c r="K87" s="1" t="str">
        <f>"３０８　　　　　　　　　　　　　　　　　"</f>
        <v>３０８　　　　　　　　　　　　　　　　　</v>
      </c>
      <c r="L87" s="1"/>
    </row>
    <row r="88" spans="1:12" ht="18" customHeight="1" x14ac:dyDescent="0.15">
      <c r="A88" s="11">
        <v>3714</v>
      </c>
      <c r="B88" s="11" t="s">
        <v>202</v>
      </c>
      <c r="C88" s="11" t="s">
        <v>203</v>
      </c>
      <c r="D88" s="11">
        <v>1</v>
      </c>
      <c r="E88" s="11" t="s">
        <v>4</v>
      </c>
      <c r="F88" s="12">
        <v>80710</v>
      </c>
      <c r="G88" s="12">
        <v>80710</v>
      </c>
      <c r="H88" s="11" t="str">
        <f t="shared" si="6"/>
        <v>平成3年3月31日</v>
      </c>
      <c r="I88" s="22">
        <f t="shared" si="7"/>
        <v>33328</v>
      </c>
      <c r="J88" s="1" t="str">
        <f>"00743859"</f>
        <v>00743859</v>
      </c>
      <c r="K88" s="1" t="str">
        <f>"３０９　　　　　　　　　　　　　　　　　"</f>
        <v>３０９　　　　　　　　　　　　　　　　　</v>
      </c>
      <c r="L88" s="1"/>
    </row>
    <row r="89" spans="1:12" ht="18" customHeight="1" x14ac:dyDescent="0.15">
      <c r="A89" s="11">
        <v>3715</v>
      </c>
      <c r="B89" s="11" t="s">
        <v>202</v>
      </c>
      <c r="C89" s="11" t="s">
        <v>203</v>
      </c>
      <c r="D89" s="11">
        <v>1</v>
      </c>
      <c r="E89" s="11" t="s">
        <v>4</v>
      </c>
      <c r="F89" s="12">
        <v>80710</v>
      </c>
      <c r="G89" s="12">
        <v>80710</v>
      </c>
      <c r="H89" s="11" t="str">
        <f t="shared" si="6"/>
        <v>平成3年3月31日</v>
      </c>
      <c r="I89" s="22">
        <f t="shared" si="7"/>
        <v>33328</v>
      </c>
      <c r="J89" s="1" t="str">
        <f>"00743861"</f>
        <v>00743861</v>
      </c>
      <c r="K89" s="1" t="str">
        <f>"３１０　　　　　　　　　　　　　　　　　"</f>
        <v>３１０　　　　　　　　　　　　　　　　　</v>
      </c>
      <c r="L89" s="1"/>
    </row>
    <row r="90" spans="1:12" ht="18" customHeight="1" x14ac:dyDescent="0.15">
      <c r="A90" s="11">
        <v>3723</v>
      </c>
      <c r="B90" s="11" t="s">
        <v>206</v>
      </c>
      <c r="C90" s="11" t="s">
        <v>211</v>
      </c>
      <c r="D90" s="11">
        <v>1</v>
      </c>
      <c r="E90" s="11" t="s">
        <v>4</v>
      </c>
      <c r="F90" s="12">
        <v>161452</v>
      </c>
      <c r="G90" s="12">
        <v>161452</v>
      </c>
      <c r="H90" s="11" t="str">
        <f t="shared" si="6"/>
        <v>平成3年3月31日</v>
      </c>
      <c r="I90" s="22">
        <f t="shared" si="7"/>
        <v>33328</v>
      </c>
      <c r="J90" s="1" t="str">
        <f>"00743877"</f>
        <v>00743877</v>
      </c>
      <c r="K90" s="1" t="str">
        <f>"３１０　　　　　　　　　　　　　　　　　"</f>
        <v>３１０　　　　　　　　　　　　　　　　　</v>
      </c>
      <c r="L90" s="1"/>
    </row>
    <row r="91" spans="1:12" ht="18" customHeight="1" x14ac:dyDescent="0.15">
      <c r="A91" s="11">
        <v>3724</v>
      </c>
      <c r="B91" s="11" t="s">
        <v>206</v>
      </c>
      <c r="C91" s="11" t="s">
        <v>211</v>
      </c>
      <c r="D91" s="11">
        <v>1</v>
      </c>
      <c r="E91" s="11" t="s">
        <v>4</v>
      </c>
      <c r="F91" s="12">
        <v>161452</v>
      </c>
      <c r="G91" s="12">
        <v>161452</v>
      </c>
      <c r="H91" s="11" t="str">
        <f t="shared" si="6"/>
        <v>平成3年3月31日</v>
      </c>
      <c r="I91" s="22">
        <f t="shared" si="7"/>
        <v>33328</v>
      </c>
      <c r="J91" s="1" t="str">
        <f>"00743879"</f>
        <v>00743879</v>
      </c>
      <c r="K91" s="1" t="str">
        <f>"３１１　　　　　　　　　　　　　　　　　"</f>
        <v>３１１　　　　　　　　　　　　　　　　　</v>
      </c>
      <c r="L91" s="1"/>
    </row>
    <row r="92" spans="1:12" ht="18" customHeight="1" x14ac:dyDescent="0.15">
      <c r="A92" s="11">
        <v>3725</v>
      </c>
      <c r="B92" s="11" t="s">
        <v>206</v>
      </c>
      <c r="C92" s="11" t="s">
        <v>211</v>
      </c>
      <c r="D92" s="11">
        <v>1</v>
      </c>
      <c r="E92" s="11" t="s">
        <v>4</v>
      </c>
      <c r="F92" s="12">
        <v>161452</v>
      </c>
      <c r="G92" s="12">
        <v>161452</v>
      </c>
      <c r="H92" s="11" t="str">
        <f t="shared" si="6"/>
        <v>平成3年3月31日</v>
      </c>
      <c r="I92" s="22">
        <f t="shared" si="7"/>
        <v>33328</v>
      </c>
      <c r="J92" s="1" t="str">
        <f>"00743881"</f>
        <v>00743881</v>
      </c>
      <c r="K92" s="1" t="str">
        <f>"３１２　　　　　　　　　　　　　　　　　"</f>
        <v>３１２　　　　　　　　　　　　　　　　　</v>
      </c>
      <c r="L92" s="1"/>
    </row>
    <row r="93" spans="1:12" ht="18" customHeight="1" x14ac:dyDescent="0.15">
      <c r="A93" s="11">
        <v>4028</v>
      </c>
      <c r="B93" s="11" t="s">
        <v>56</v>
      </c>
      <c r="C93" s="11" t="s">
        <v>275</v>
      </c>
      <c r="D93" s="11">
        <v>1</v>
      </c>
      <c r="E93" s="11" t="s">
        <v>4</v>
      </c>
      <c r="F93" s="12">
        <v>45526</v>
      </c>
      <c r="G93" s="12">
        <v>45526</v>
      </c>
      <c r="H93" s="11" t="str">
        <f t="shared" si="6"/>
        <v>平成3年3月31日</v>
      </c>
      <c r="I93" s="22">
        <f t="shared" si="7"/>
        <v>33328</v>
      </c>
      <c r="J93" s="1" t="str">
        <f>"00744713"</f>
        <v>00744713</v>
      </c>
      <c r="K93" s="1" t="str">
        <f>"３２３　　　　　　　　　　　　　　　　　"</f>
        <v>３２３　　　　　　　　　　　　　　　　　</v>
      </c>
      <c r="L93" s="1"/>
    </row>
    <row r="94" spans="1:12" ht="18" customHeight="1" x14ac:dyDescent="0.15">
      <c r="A94" s="11">
        <v>4029</v>
      </c>
      <c r="B94" s="11" t="s">
        <v>56</v>
      </c>
      <c r="C94" s="11" t="s">
        <v>275</v>
      </c>
      <c r="D94" s="11">
        <v>1</v>
      </c>
      <c r="E94" s="11" t="s">
        <v>4</v>
      </c>
      <c r="F94" s="12">
        <v>45526</v>
      </c>
      <c r="G94" s="12">
        <v>45526</v>
      </c>
      <c r="H94" s="11" t="str">
        <f t="shared" si="6"/>
        <v>平成3年3月31日</v>
      </c>
      <c r="I94" s="22">
        <f t="shared" si="7"/>
        <v>33328</v>
      </c>
      <c r="J94" s="1" t="str">
        <f>"00744715"</f>
        <v>00744715</v>
      </c>
      <c r="K94" s="1" t="str">
        <f>"３２４　　　　　　　　　　　　　　　　　"</f>
        <v>３２４　　　　　　　　　　　　　　　　　</v>
      </c>
      <c r="L94" s="1"/>
    </row>
    <row r="95" spans="1:12" ht="18" customHeight="1" x14ac:dyDescent="0.15">
      <c r="A95" s="11">
        <v>4149</v>
      </c>
      <c r="B95" s="11" t="s">
        <v>58</v>
      </c>
      <c r="C95" s="11" t="s">
        <v>299</v>
      </c>
      <c r="D95" s="11">
        <v>1</v>
      </c>
      <c r="E95" s="11" t="s">
        <v>17</v>
      </c>
      <c r="F95" s="12">
        <v>73645</v>
      </c>
      <c r="G95" s="12">
        <v>73645</v>
      </c>
      <c r="H95" s="11" t="str">
        <f t="shared" si="6"/>
        <v>平成3年3月31日</v>
      </c>
      <c r="I95" s="22">
        <f t="shared" si="7"/>
        <v>33328</v>
      </c>
      <c r="J95" s="1" t="str">
        <f>"00745091"</f>
        <v>00745091</v>
      </c>
      <c r="K95" s="1" t="str">
        <f>"３４０　　　　　　　　　　　　　　　　　"</f>
        <v>３４０　　　　　　　　　　　　　　　　　</v>
      </c>
      <c r="L95" s="1"/>
    </row>
    <row r="96" spans="1:12" ht="18" customHeight="1" x14ac:dyDescent="0.15">
      <c r="A96" s="11">
        <v>4150</v>
      </c>
      <c r="B96" s="11" t="s">
        <v>58</v>
      </c>
      <c r="C96" s="11" t="s">
        <v>299</v>
      </c>
      <c r="D96" s="11">
        <v>1</v>
      </c>
      <c r="E96" s="11" t="s">
        <v>17</v>
      </c>
      <c r="F96" s="12">
        <v>73645</v>
      </c>
      <c r="G96" s="12">
        <v>73645</v>
      </c>
      <c r="H96" s="11" t="str">
        <f t="shared" si="6"/>
        <v>平成3年3月31日</v>
      </c>
      <c r="I96" s="22">
        <f t="shared" si="7"/>
        <v>33328</v>
      </c>
      <c r="J96" s="1" t="str">
        <f>"00745093"</f>
        <v>00745093</v>
      </c>
      <c r="K96" s="1" t="str">
        <f>"３４１　　　　　　　　　　　　　　　　　"</f>
        <v>３４１　　　　　　　　　　　　　　　　　</v>
      </c>
      <c r="L96" s="1"/>
    </row>
    <row r="97" spans="1:12" ht="18" customHeight="1" x14ac:dyDescent="0.15">
      <c r="A97" s="11">
        <v>4151</v>
      </c>
      <c r="B97" s="11" t="s">
        <v>58</v>
      </c>
      <c r="C97" s="11" t="s">
        <v>299</v>
      </c>
      <c r="D97" s="11">
        <v>1</v>
      </c>
      <c r="E97" s="11" t="s">
        <v>17</v>
      </c>
      <c r="F97" s="12">
        <v>73645</v>
      </c>
      <c r="G97" s="12">
        <v>73645</v>
      </c>
      <c r="H97" s="11" t="str">
        <f t="shared" si="6"/>
        <v>平成3年3月31日</v>
      </c>
      <c r="I97" s="22">
        <f t="shared" si="7"/>
        <v>33328</v>
      </c>
      <c r="J97" s="1" t="str">
        <f>"00745095"</f>
        <v>00745095</v>
      </c>
      <c r="K97" s="1" t="str">
        <f>"３４２　　　　　　　　　　　　　　　　　"</f>
        <v>３４２　　　　　　　　　　　　　　　　　</v>
      </c>
      <c r="L97" s="1"/>
    </row>
    <row r="98" spans="1:12" ht="18" customHeight="1" x14ac:dyDescent="0.15">
      <c r="A98" s="11">
        <v>4152</v>
      </c>
      <c r="B98" s="11" t="s">
        <v>58</v>
      </c>
      <c r="C98" s="11" t="s">
        <v>299</v>
      </c>
      <c r="D98" s="11">
        <v>1</v>
      </c>
      <c r="E98" s="11" t="s">
        <v>17</v>
      </c>
      <c r="F98" s="12">
        <v>73645</v>
      </c>
      <c r="G98" s="12">
        <v>73645</v>
      </c>
      <c r="H98" s="11" t="str">
        <f t="shared" si="6"/>
        <v>平成3年3月31日</v>
      </c>
      <c r="I98" s="22">
        <f t="shared" si="7"/>
        <v>33328</v>
      </c>
      <c r="J98" s="1" t="str">
        <f>"00745097"</f>
        <v>00745097</v>
      </c>
      <c r="K98" s="1" t="str">
        <f>"３４３　　　　　　　　　　　　　　　　　"</f>
        <v>３４３　　　　　　　　　　　　　　　　　</v>
      </c>
      <c r="L98" s="1"/>
    </row>
    <row r="99" spans="1:12" ht="18" customHeight="1" x14ac:dyDescent="0.15">
      <c r="A99" s="11">
        <v>4153</v>
      </c>
      <c r="B99" s="11" t="s">
        <v>58</v>
      </c>
      <c r="C99" s="11" t="s">
        <v>299</v>
      </c>
      <c r="D99" s="11">
        <v>1</v>
      </c>
      <c r="E99" s="11" t="s">
        <v>17</v>
      </c>
      <c r="F99" s="12">
        <v>73645</v>
      </c>
      <c r="G99" s="12">
        <v>73645</v>
      </c>
      <c r="H99" s="11" t="str">
        <f t="shared" si="6"/>
        <v>平成3年3月31日</v>
      </c>
      <c r="I99" s="22">
        <f t="shared" si="7"/>
        <v>33328</v>
      </c>
      <c r="J99" s="1" t="str">
        <f>"00745099"</f>
        <v>00745099</v>
      </c>
      <c r="K99" s="1" t="str">
        <f>"３４４　　　　　　　　　　　　　　　　　"</f>
        <v>３４４　　　　　　　　　　　　　　　　　</v>
      </c>
      <c r="L99" s="1"/>
    </row>
    <row r="100" spans="1:12" ht="18" customHeight="1" x14ac:dyDescent="0.15">
      <c r="A100" s="11">
        <v>4224</v>
      </c>
      <c r="B100" s="11" t="s">
        <v>303</v>
      </c>
      <c r="C100" s="11" t="s">
        <v>307</v>
      </c>
      <c r="D100" s="11">
        <v>1</v>
      </c>
      <c r="E100" s="11" t="s">
        <v>17</v>
      </c>
      <c r="F100" s="12">
        <v>336192</v>
      </c>
      <c r="G100" s="12">
        <v>336192</v>
      </c>
      <c r="H100" s="11" t="str">
        <f t="shared" si="6"/>
        <v>平成3年3月31日</v>
      </c>
      <c r="I100" s="22">
        <f t="shared" si="7"/>
        <v>33328</v>
      </c>
      <c r="J100" s="1" t="str">
        <f>"00745241"</f>
        <v>00745241</v>
      </c>
      <c r="K100" s="1" t="str">
        <f>"３０７　　　　　　　　　　　　　　　　　"</f>
        <v>３０７　　　　　　　　　　　　　　　　　</v>
      </c>
      <c r="L100" s="1"/>
    </row>
    <row r="101" spans="1:12" ht="18" customHeight="1" x14ac:dyDescent="0.15">
      <c r="A101" s="11">
        <v>4225</v>
      </c>
      <c r="B101" s="11" t="s">
        <v>303</v>
      </c>
      <c r="C101" s="11" t="s">
        <v>307</v>
      </c>
      <c r="D101" s="11">
        <v>1</v>
      </c>
      <c r="E101" s="11" t="s">
        <v>17</v>
      </c>
      <c r="F101" s="12">
        <v>336192</v>
      </c>
      <c r="G101" s="12">
        <v>336192</v>
      </c>
      <c r="H101" s="11" t="str">
        <f t="shared" si="6"/>
        <v>平成3年3月31日</v>
      </c>
      <c r="I101" s="22">
        <f t="shared" si="7"/>
        <v>33328</v>
      </c>
      <c r="J101" s="1" t="str">
        <f>"00745243"</f>
        <v>00745243</v>
      </c>
      <c r="K101" s="1" t="str">
        <f>"３０８　　　　　　　　　　　　　　　　　"</f>
        <v>３０８　　　　　　　　　　　　　　　　　</v>
      </c>
      <c r="L101" s="1"/>
    </row>
    <row r="102" spans="1:12" ht="18" customHeight="1" x14ac:dyDescent="0.15">
      <c r="A102" s="11">
        <v>4250</v>
      </c>
      <c r="B102" s="11" t="s">
        <v>115</v>
      </c>
      <c r="C102" s="11" t="s">
        <v>311</v>
      </c>
      <c r="D102" s="11">
        <v>1</v>
      </c>
      <c r="E102" s="11" t="s">
        <v>4</v>
      </c>
      <c r="F102" s="12">
        <v>34505</v>
      </c>
      <c r="G102" s="12">
        <v>34505</v>
      </c>
      <c r="H102" s="11" t="str">
        <f t="shared" si="6"/>
        <v>平成3年3月31日</v>
      </c>
      <c r="I102" s="22">
        <f t="shared" si="7"/>
        <v>33328</v>
      </c>
      <c r="J102" s="1" t="str">
        <f>"00745293"</f>
        <v>00745293</v>
      </c>
      <c r="K102" s="1" t="str">
        <f>"３２３　　　　　　　　　　　　　　　　　"</f>
        <v>３２３　　　　　　　　　　　　　　　　　</v>
      </c>
      <c r="L102" s="1"/>
    </row>
    <row r="103" spans="1:12" ht="18" customHeight="1" x14ac:dyDescent="0.15">
      <c r="A103" s="11">
        <v>4283</v>
      </c>
      <c r="B103" s="11" t="s">
        <v>321</v>
      </c>
      <c r="C103" s="11" t="s">
        <v>326</v>
      </c>
      <c r="D103" s="11">
        <v>1</v>
      </c>
      <c r="E103" s="11" t="s">
        <v>17</v>
      </c>
      <c r="F103" s="12">
        <v>618000</v>
      </c>
      <c r="G103" s="12">
        <v>618000</v>
      </c>
      <c r="H103" s="11" t="str">
        <f t="shared" si="6"/>
        <v>平成3年3月31日</v>
      </c>
      <c r="I103" s="22">
        <f t="shared" si="7"/>
        <v>33328</v>
      </c>
      <c r="J103" s="1" t="str">
        <f>"00745411"</f>
        <v>00745411</v>
      </c>
      <c r="K103" s="1" t="str">
        <f>"３１３　　　　　　　　　　　　　　　　　"</f>
        <v>３１３　　　　　　　　　　　　　　　　　</v>
      </c>
      <c r="L103" s="1"/>
    </row>
    <row r="104" spans="1:12" ht="18" customHeight="1" x14ac:dyDescent="0.15">
      <c r="A104" s="11">
        <v>4284</v>
      </c>
      <c r="B104" s="11" t="s">
        <v>321</v>
      </c>
      <c r="C104" s="11" t="s">
        <v>327</v>
      </c>
      <c r="D104" s="11">
        <v>1</v>
      </c>
      <c r="E104" s="11" t="s">
        <v>17</v>
      </c>
      <c r="F104" s="12">
        <v>618000</v>
      </c>
      <c r="G104" s="12">
        <v>618000</v>
      </c>
      <c r="H104" s="11" t="str">
        <f t="shared" si="6"/>
        <v>平成3年3月31日</v>
      </c>
      <c r="I104" s="22">
        <f t="shared" si="7"/>
        <v>33328</v>
      </c>
      <c r="J104" s="1" t="str">
        <f>"00745413"</f>
        <v>00745413</v>
      </c>
      <c r="K104" s="1" t="str">
        <f>"３１４　　　　　　　　　　　　　　　　　"</f>
        <v>３１４　　　　　　　　　　　　　　　　　</v>
      </c>
      <c r="L104" s="1"/>
    </row>
    <row r="105" spans="1:12" s="40" customFormat="1" ht="18" customHeight="1" x14ac:dyDescent="0.15">
      <c r="A105" s="25">
        <v>4491</v>
      </c>
      <c r="B105" s="25" t="s">
        <v>364</v>
      </c>
      <c r="C105" s="25" t="s">
        <v>365</v>
      </c>
      <c r="D105" s="25">
        <v>1</v>
      </c>
      <c r="E105" s="25" t="s">
        <v>4</v>
      </c>
      <c r="F105" s="38">
        <v>30900</v>
      </c>
      <c r="G105" s="38" t="s">
        <v>668</v>
      </c>
      <c r="H105" s="25" t="str">
        <f t="shared" si="6"/>
        <v>平成3年3月31日</v>
      </c>
      <c r="I105" s="39">
        <f t="shared" si="7"/>
        <v>33328</v>
      </c>
      <c r="J105" s="25" t="str">
        <f>"00745889"</f>
        <v>00745889</v>
      </c>
      <c r="K105" s="25" t="str">
        <f>"３０３　　　　　　　　　　　　　　　　　"</f>
        <v>３０３　　　　　　　　　　　　　　　　　</v>
      </c>
      <c r="L105" s="25"/>
    </row>
    <row r="106" spans="1:12" s="40" customFormat="1" ht="18" customHeight="1" x14ac:dyDescent="0.15">
      <c r="A106" s="25">
        <v>4492</v>
      </c>
      <c r="B106" s="25" t="s">
        <v>364</v>
      </c>
      <c r="C106" s="25" t="s">
        <v>365</v>
      </c>
      <c r="D106" s="25">
        <v>1</v>
      </c>
      <c r="E106" s="25" t="s">
        <v>4</v>
      </c>
      <c r="F106" s="38">
        <v>30900</v>
      </c>
      <c r="G106" s="38" t="s">
        <v>668</v>
      </c>
      <c r="H106" s="25" t="str">
        <f t="shared" si="6"/>
        <v>平成3年3月31日</v>
      </c>
      <c r="I106" s="39">
        <f t="shared" si="7"/>
        <v>33328</v>
      </c>
      <c r="J106" s="25" t="str">
        <f>"00745891"</f>
        <v>00745891</v>
      </c>
      <c r="K106" s="25" t="str">
        <f>"３０４　　　　　　　　　　　　　　　　　"</f>
        <v>３０４　　　　　　　　　　　　　　　　　</v>
      </c>
      <c r="L106" s="25"/>
    </row>
    <row r="107" spans="1:12" s="40" customFormat="1" ht="18" customHeight="1" x14ac:dyDescent="0.15">
      <c r="A107" s="25">
        <v>4493</v>
      </c>
      <c r="B107" s="25" t="s">
        <v>364</v>
      </c>
      <c r="C107" s="25" t="s">
        <v>365</v>
      </c>
      <c r="D107" s="25">
        <v>1</v>
      </c>
      <c r="E107" s="25" t="s">
        <v>4</v>
      </c>
      <c r="F107" s="38">
        <v>30900</v>
      </c>
      <c r="G107" s="38" t="s">
        <v>668</v>
      </c>
      <c r="H107" s="25" t="str">
        <f t="shared" si="6"/>
        <v>平成3年3月31日</v>
      </c>
      <c r="I107" s="39">
        <f t="shared" si="7"/>
        <v>33328</v>
      </c>
      <c r="J107" s="25" t="str">
        <f>"00745893"</f>
        <v>00745893</v>
      </c>
      <c r="K107" s="25" t="str">
        <f>"３０５　　　　　　　　　　　　　　　　　"</f>
        <v>３０５　　　　　　　　　　　　　　　　　</v>
      </c>
      <c r="L107" s="25"/>
    </row>
    <row r="108" spans="1:12" s="40" customFormat="1" ht="18" customHeight="1" x14ac:dyDescent="0.15">
      <c r="A108" s="25">
        <v>4494</v>
      </c>
      <c r="B108" s="25" t="s">
        <v>364</v>
      </c>
      <c r="C108" s="25" t="s">
        <v>365</v>
      </c>
      <c r="D108" s="25">
        <v>1</v>
      </c>
      <c r="E108" s="25" t="s">
        <v>4</v>
      </c>
      <c r="F108" s="38">
        <v>30900</v>
      </c>
      <c r="G108" s="38" t="s">
        <v>668</v>
      </c>
      <c r="H108" s="25" t="str">
        <f t="shared" si="6"/>
        <v>平成3年3月31日</v>
      </c>
      <c r="I108" s="39">
        <f t="shared" si="7"/>
        <v>33328</v>
      </c>
      <c r="J108" s="25" t="str">
        <f>"00745895"</f>
        <v>00745895</v>
      </c>
      <c r="K108" s="25" t="str">
        <f>"３０６　　　　　　　　　　　　　　　　　"</f>
        <v>３０６　　　　　　　　　　　　　　　　　</v>
      </c>
      <c r="L108" s="25"/>
    </row>
    <row r="109" spans="1:12" s="40" customFormat="1" ht="18" customHeight="1" x14ac:dyDescent="0.15">
      <c r="A109" s="25">
        <v>4519</v>
      </c>
      <c r="B109" s="25" t="s">
        <v>369</v>
      </c>
      <c r="C109" s="25" t="s">
        <v>370</v>
      </c>
      <c r="D109" s="25">
        <v>1</v>
      </c>
      <c r="E109" s="25" t="s">
        <v>4</v>
      </c>
      <c r="F109" s="38">
        <v>35020</v>
      </c>
      <c r="G109" s="38" t="s">
        <v>668</v>
      </c>
      <c r="H109" s="25" t="str">
        <f t="shared" si="6"/>
        <v>平成3年3月31日</v>
      </c>
      <c r="I109" s="39">
        <f t="shared" si="7"/>
        <v>33328</v>
      </c>
      <c r="J109" s="25" t="str">
        <f>"00745945"</f>
        <v>00745945</v>
      </c>
      <c r="K109" s="25" t="str">
        <f>"３０１　　　　　　　　　　　　　　　　　"</f>
        <v>３０１　　　　　　　　　　　　　　　　　</v>
      </c>
      <c r="L109" s="25"/>
    </row>
    <row r="110" spans="1:12" s="40" customFormat="1" ht="18" customHeight="1" x14ac:dyDescent="0.15">
      <c r="A110" s="25">
        <v>4520</v>
      </c>
      <c r="B110" s="25" t="s">
        <v>369</v>
      </c>
      <c r="C110" s="25" t="s">
        <v>370</v>
      </c>
      <c r="D110" s="25">
        <v>1</v>
      </c>
      <c r="E110" s="25" t="s">
        <v>4</v>
      </c>
      <c r="F110" s="38">
        <v>35020</v>
      </c>
      <c r="G110" s="38" t="s">
        <v>668</v>
      </c>
      <c r="H110" s="25" t="str">
        <f t="shared" si="6"/>
        <v>平成3年3月31日</v>
      </c>
      <c r="I110" s="39">
        <f t="shared" si="7"/>
        <v>33328</v>
      </c>
      <c r="J110" s="25" t="str">
        <f>"00745947"</f>
        <v>00745947</v>
      </c>
      <c r="K110" s="25" t="str">
        <f>"３０２　　　　　　　　　　　　　　　　　"</f>
        <v>３０２　　　　　　　　　　　　　　　　　</v>
      </c>
      <c r="L110" s="25"/>
    </row>
    <row r="111" spans="1:12" s="40" customFormat="1" ht="18" customHeight="1" x14ac:dyDescent="0.15">
      <c r="A111" s="25">
        <v>4521</v>
      </c>
      <c r="B111" s="25" t="s">
        <v>369</v>
      </c>
      <c r="C111" s="25" t="s">
        <v>370</v>
      </c>
      <c r="D111" s="25">
        <v>1</v>
      </c>
      <c r="E111" s="25" t="s">
        <v>4</v>
      </c>
      <c r="F111" s="38">
        <v>35020</v>
      </c>
      <c r="G111" s="38" t="s">
        <v>668</v>
      </c>
      <c r="H111" s="25" t="str">
        <f t="shared" si="6"/>
        <v>平成3年3月31日</v>
      </c>
      <c r="I111" s="39">
        <f t="shared" si="7"/>
        <v>33328</v>
      </c>
      <c r="J111" s="25" t="str">
        <f>"00745949"</f>
        <v>00745949</v>
      </c>
      <c r="K111" s="25" t="str">
        <f>"３０３　　　　　　　　　　　　　　　　　"</f>
        <v>３０３　　　　　　　　　　　　　　　　　</v>
      </c>
      <c r="L111" s="25"/>
    </row>
    <row r="112" spans="1:12" s="40" customFormat="1" ht="18" customHeight="1" x14ac:dyDescent="0.15">
      <c r="A112" s="25">
        <v>4522</v>
      </c>
      <c r="B112" s="25" t="s">
        <v>369</v>
      </c>
      <c r="C112" s="25" t="s">
        <v>370</v>
      </c>
      <c r="D112" s="25">
        <v>1</v>
      </c>
      <c r="E112" s="25" t="s">
        <v>4</v>
      </c>
      <c r="F112" s="38">
        <v>35020</v>
      </c>
      <c r="G112" s="38" t="s">
        <v>668</v>
      </c>
      <c r="H112" s="25" t="str">
        <f t="shared" si="6"/>
        <v>平成3年3月31日</v>
      </c>
      <c r="I112" s="39">
        <f t="shared" si="7"/>
        <v>33328</v>
      </c>
      <c r="J112" s="25" t="str">
        <f>"00745951"</f>
        <v>00745951</v>
      </c>
      <c r="K112" s="25" t="str">
        <f>"３０４　　　　　　　　　　　　　　　　　"</f>
        <v>３０４　　　　　　　　　　　　　　　　　</v>
      </c>
      <c r="L112" s="25"/>
    </row>
    <row r="113" spans="1:12" s="40" customFormat="1" ht="18" customHeight="1" x14ac:dyDescent="0.15">
      <c r="A113" s="25">
        <v>4523</v>
      </c>
      <c r="B113" s="25" t="s">
        <v>369</v>
      </c>
      <c r="C113" s="25" t="s">
        <v>370</v>
      </c>
      <c r="D113" s="25">
        <v>1</v>
      </c>
      <c r="E113" s="25" t="s">
        <v>4</v>
      </c>
      <c r="F113" s="38">
        <v>35020</v>
      </c>
      <c r="G113" s="38" t="s">
        <v>668</v>
      </c>
      <c r="H113" s="25" t="str">
        <f t="shared" si="6"/>
        <v>平成3年3月31日</v>
      </c>
      <c r="I113" s="39">
        <f t="shared" si="7"/>
        <v>33328</v>
      </c>
      <c r="J113" s="25" t="str">
        <f>"00745953"</f>
        <v>00745953</v>
      </c>
      <c r="K113" s="25" t="str">
        <f>"３０５　　　　　　　　　　　　　　　　　"</f>
        <v>３０５　　　　　　　　　　　　　　　　　</v>
      </c>
      <c r="L113" s="25"/>
    </row>
    <row r="114" spans="1:12" s="40" customFormat="1" ht="18" customHeight="1" x14ac:dyDescent="0.15">
      <c r="A114" s="25">
        <v>4524</v>
      </c>
      <c r="B114" s="25" t="s">
        <v>369</v>
      </c>
      <c r="C114" s="25" t="s">
        <v>370</v>
      </c>
      <c r="D114" s="25">
        <v>1</v>
      </c>
      <c r="E114" s="25" t="s">
        <v>4</v>
      </c>
      <c r="F114" s="38">
        <v>35020</v>
      </c>
      <c r="G114" s="38" t="s">
        <v>668</v>
      </c>
      <c r="H114" s="25" t="str">
        <f t="shared" si="6"/>
        <v>平成3年3月31日</v>
      </c>
      <c r="I114" s="39">
        <f t="shared" si="7"/>
        <v>33328</v>
      </c>
      <c r="J114" s="25" t="str">
        <f>"00745955"</f>
        <v>00745955</v>
      </c>
      <c r="K114" s="25" t="str">
        <f>"３０６　　　　　　　　　　　　　　　　　"</f>
        <v>３０６　　　　　　　　　　　　　　　　　</v>
      </c>
      <c r="L114" s="25"/>
    </row>
    <row r="115" spans="1:12" s="40" customFormat="1" ht="18" customHeight="1" x14ac:dyDescent="0.15">
      <c r="A115" s="25">
        <v>4525</v>
      </c>
      <c r="B115" s="25" t="s">
        <v>369</v>
      </c>
      <c r="C115" s="25" t="s">
        <v>370</v>
      </c>
      <c r="D115" s="25">
        <v>1</v>
      </c>
      <c r="E115" s="25" t="s">
        <v>4</v>
      </c>
      <c r="F115" s="38">
        <v>35020</v>
      </c>
      <c r="G115" s="38" t="s">
        <v>668</v>
      </c>
      <c r="H115" s="25" t="str">
        <f t="shared" si="6"/>
        <v>平成3年3月31日</v>
      </c>
      <c r="I115" s="39">
        <f t="shared" si="7"/>
        <v>33328</v>
      </c>
      <c r="J115" s="25" t="str">
        <f>"00745957"</f>
        <v>00745957</v>
      </c>
      <c r="K115" s="25" t="str">
        <f>"３０７　　　　　　　　　　　　　　　　　"</f>
        <v>３０７　　　　　　　　　　　　　　　　　</v>
      </c>
      <c r="L115" s="25"/>
    </row>
    <row r="116" spans="1:12" s="40" customFormat="1" ht="18" customHeight="1" x14ac:dyDescent="0.15">
      <c r="A116" s="25">
        <v>4526</v>
      </c>
      <c r="B116" s="25" t="s">
        <v>369</v>
      </c>
      <c r="C116" s="25" t="s">
        <v>370</v>
      </c>
      <c r="D116" s="25">
        <v>1</v>
      </c>
      <c r="E116" s="25" t="s">
        <v>4</v>
      </c>
      <c r="F116" s="38">
        <v>35020</v>
      </c>
      <c r="G116" s="38" t="s">
        <v>668</v>
      </c>
      <c r="H116" s="25" t="str">
        <f t="shared" si="6"/>
        <v>平成3年3月31日</v>
      </c>
      <c r="I116" s="39">
        <f t="shared" si="7"/>
        <v>33328</v>
      </c>
      <c r="J116" s="25" t="str">
        <f>"00745959"</f>
        <v>00745959</v>
      </c>
      <c r="K116" s="25" t="str">
        <f>"３０８　　　　　　　　　　　　　　　　　"</f>
        <v>３０８　　　　　　　　　　　　　　　　　</v>
      </c>
      <c r="L116" s="25"/>
    </row>
    <row r="117" spans="1:12" s="40" customFormat="1" ht="18" customHeight="1" x14ac:dyDescent="0.15">
      <c r="A117" s="25">
        <v>4535</v>
      </c>
      <c r="B117" s="25" t="s">
        <v>373</v>
      </c>
      <c r="C117" s="25" t="s">
        <v>374</v>
      </c>
      <c r="D117" s="25">
        <v>1</v>
      </c>
      <c r="E117" s="25" t="s">
        <v>4</v>
      </c>
      <c r="F117" s="38">
        <v>32136</v>
      </c>
      <c r="G117" s="38" t="s">
        <v>668</v>
      </c>
      <c r="H117" s="25" t="str">
        <f t="shared" si="6"/>
        <v>平成3年3月31日</v>
      </c>
      <c r="I117" s="39">
        <f t="shared" si="7"/>
        <v>33328</v>
      </c>
      <c r="J117" s="25" t="str">
        <f>"00745979"</f>
        <v>00745979</v>
      </c>
      <c r="K117" s="25" t="str">
        <f>"３０１　　　　　　　　　　　　　　　　　"</f>
        <v>３０１　　　　　　　　　　　　　　　　　</v>
      </c>
      <c r="L117" s="25"/>
    </row>
    <row r="118" spans="1:12" ht="18" customHeight="1" x14ac:dyDescent="0.15">
      <c r="A118" s="11">
        <v>4709</v>
      </c>
      <c r="B118" s="11" t="s">
        <v>436</v>
      </c>
      <c r="C118" s="11" t="s">
        <v>437</v>
      </c>
      <c r="D118" s="11">
        <v>1</v>
      </c>
      <c r="E118" s="11" t="s">
        <v>4</v>
      </c>
      <c r="F118" s="12">
        <v>96820</v>
      </c>
      <c r="G118" s="12">
        <v>96820</v>
      </c>
      <c r="H118" s="11" t="str">
        <f t="shared" si="6"/>
        <v>平成3年3月31日</v>
      </c>
      <c r="I118" s="22">
        <f t="shared" si="7"/>
        <v>33328</v>
      </c>
      <c r="J118" s="1" t="str">
        <f>"00746383"</f>
        <v>00746383</v>
      </c>
      <c r="K118" s="1" t="str">
        <f>"３０１　　　　　　　　　　　　　　　　　"</f>
        <v>３０１　　　　　　　　　　　　　　　　　</v>
      </c>
      <c r="L118" s="1"/>
    </row>
    <row r="119" spans="1:12" ht="18" customHeight="1" x14ac:dyDescent="0.15">
      <c r="A119" s="11">
        <v>4710</v>
      </c>
      <c r="B119" s="11" t="s">
        <v>436</v>
      </c>
      <c r="C119" s="11" t="s">
        <v>437</v>
      </c>
      <c r="D119" s="11">
        <v>1</v>
      </c>
      <c r="E119" s="11" t="s">
        <v>4</v>
      </c>
      <c r="F119" s="12">
        <v>96820</v>
      </c>
      <c r="G119" s="12">
        <v>96820</v>
      </c>
      <c r="H119" s="11" t="str">
        <f t="shared" si="6"/>
        <v>平成3年3月31日</v>
      </c>
      <c r="I119" s="22">
        <f t="shared" si="7"/>
        <v>33328</v>
      </c>
      <c r="J119" s="1" t="str">
        <f>"00746385"</f>
        <v>00746385</v>
      </c>
      <c r="K119" s="1" t="str">
        <f>"３０２　　　　　　　　　　　　　　　　　"</f>
        <v>３０２　　　　　　　　　　　　　　　　　</v>
      </c>
      <c r="L119" s="1"/>
    </row>
    <row r="120" spans="1:12" ht="18" customHeight="1" x14ac:dyDescent="0.15">
      <c r="A120" s="11">
        <v>4711</v>
      </c>
      <c r="B120" s="11" t="s">
        <v>436</v>
      </c>
      <c r="C120" s="11" t="s">
        <v>437</v>
      </c>
      <c r="D120" s="11">
        <v>1</v>
      </c>
      <c r="E120" s="11" t="s">
        <v>4</v>
      </c>
      <c r="F120" s="12">
        <v>96820</v>
      </c>
      <c r="G120" s="12">
        <v>96820</v>
      </c>
      <c r="H120" s="11" t="str">
        <f t="shared" si="6"/>
        <v>平成3年3月31日</v>
      </c>
      <c r="I120" s="22">
        <f t="shared" si="7"/>
        <v>33328</v>
      </c>
      <c r="J120" s="1" t="str">
        <f>"00746387"</f>
        <v>00746387</v>
      </c>
      <c r="K120" s="1" t="str">
        <f>"３０３　　　　　　　　　　　　　　　　　"</f>
        <v>３０３　　　　　　　　　　　　　　　　　</v>
      </c>
      <c r="L120" s="1"/>
    </row>
    <row r="121" spans="1:12" ht="18" customHeight="1" x14ac:dyDescent="0.15">
      <c r="A121" s="11">
        <v>4712</v>
      </c>
      <c r="B121" s="11" t="s">
        <v>436</v>
      </c>
      <c r="C121" s="11" t="s">
        <v>437</v>
      </c>
      <c r="D121" s="11">
        <v>1</v>
      </c>
      <c r="E121" s="11" t="s">
        <v>4</v>
      </c>
      <c r="F121" s="12">
        <v>96820</v>
      </c>
      <c r="G121" s="12">
        <v>96820</v>
      </c>
      <c r="H121" s="11" t="str">
        <f t="shared" si="6"/>
        <v>平成3年3月31日</v>
      </c>
      <c r="I121" s="22">
        <f t="shared" si="7"/>
        <v>33328</v>
      </c>
      <c r="J121" s="1" t="str">
        <f>"00746393"</f>
        <v>00746393</v>
      </c>
      <c r="K121" s="1" t="str">
        <f>"３０６　　　　　　　　　　　　　　　　　"</f>
        <v>３０６　　　　　　　　　　　　　　　　　</v>
      </c>
      <c r="L121" s="1"/>
    </row>
    <row r="122" spans="1:12" ht="18" customHeight="1" x14ac:dyDescent="0.15">
      <c r="A122" s="11">
        <v>4713</v>
      </c>
      <c r="B122" s="11" t="s">
        <v>436</v>
      </c>
      <c r="C122" s="11" t="s">
        <v>437</v>
      </c>
      <c r="D122" s="11">
        <v>1</v>
      </c>
      <c r="E122" s="11" t="s">
        <v>4</v>
      </c>
      <c r="F122" s="12">
        <v>96820</v>
      </c>
      <c r="G122" s="12">
        <v>96820</v>
      </c>
      <c r="H122" s="11" t="str">
        <f t="shared" si="6"/>
        <v>平成3年3月31日</v>
      </c>
      <c r="I122" s="22">
        <f t="shared" si="7"/>
        <v>33328</v>
      </c>
      <c r="J122" s="1" t="str">
        <f>"00746395"</f>
        <v>00746395</v>
      </c>
      <c r="K122" s="1" t="str">
        <f>"３０７　　　　　　　　　　　　　　　　　"</f>
        <v>３０７　　　　　　　　　　　　　　　　　</v>
      </c>
      <c r="L122" s="1"/>
    </row>
    <row r="123" spans="1:12" ht="18" customHeight="1" x14ac:dyDescent="0.15">
      <c r="A123" s="11">
        <v>4714</v>
      </c>
      <c r="B123" s="11" t="s">
        <v>436</v>
      </c>
      <c r="C123" s="11" t="s">
        <v>437</v>
      </c>
      <c r="D123" s="11">
        <v>1</v>
      </c>
      <c r="E123" s="11" t="s">
        <v>4</v>
      </c>
      <c r="F123" s="12">
        <v>96820</v>
      </c>
      <c r="G123" s="12">
        <v>96820</v>
      </c>
      <c r="H123" s="11" t="str">
        <f t="shared" si="6"/>
        <v>平成3年3月31日</v>
      </c>
      <c r="I123" s="22">
        <f t="shared" si="7"/>
        <v>33328</v>
      </c>
      <c r="J123" s="1" t="str">
        <f>"00746397"</f>
        <v>00746397</v>
      </c>
      <c r="K123" s="1" t="str">
        <f>"３０８　　　　　　　　　　　　　　　　　"</f>
        <v>３０８　　　　　　　　　　　　　　　　　</v>
      </c>
      <c r="L123" s="1"/>
    </row>
    <row r="124" spans="1:12" ht="18" customHeight="1" x14ac:dyDescent="0.15">
      <c r="A124" s="11">
        <v>4715</v>
      </c>
      <c r="B124" s="11" t="s">
        <v>436</v>
      </c>
      <c r="C124" s="11" t="s">
        <v>437</v>
      </c>
      <c r="D124" s="11">
        <v>1</v>
      </c>
      <c r="E124" s="11" t="s">
        <v>4</v>
      </c>
      <c r="F124" s="12">
        <v>96820</v>
      </c>
      <c r="G124" s="12">
        <v>96820</v>
      </c>
      <c r="H124" s="11" t="str">
        <f t="shared" si="6"/>
        <v>平成3年3月31日</v>
      </c>
      <c r="I124" s="22">
        <f t="shared" si="7"/>
        <v>33328</v>
      </c>
      <c r="J124" s="1" t="str">
        <f>"00746399"</f>
        <v>00746399</v>
      </c>
      <c r="K124" s="1" t="str">
        <f>"３０９　　　　　　　　　　　　　　　　　"</f>
        <v>３０９　　　　　　　　　　　　　　　　　</v>
      </c>
      <c r="L124" s="1"/>
    </row>
    <row r="125" spans="1:12" ht="18" customHeight="1" x14ac:dyDescent="0.15">
      <c r="A125" s="11">
        <v>4716</v>
      </c>
      <c r="B125" s="11" t="s">
        <v>436</v>
      </c>
      <c r="C125" s="11" t="s">
        <v>437</v>
      </c>
      <c r="D125" s="11">
        <v>1</v>
      </c>
      <c r="E125" s="11" t="s">
        <v>4</v>
      </c>
      <c r="F125" s="12">
        <v>96820</v>
      </c>
      <c r="G125" s="12">
        <v>96820</v>
      </c>
      <c r="H125" s="11" t="str">
        <f t="shared" si="6"/>
        <v>平成3年3月31日</v>
      </c>
      <c r="I125" s="22">
        <f t="shared" si="7"/>
        <v>33328</v>
      </c>
      <c r="J125" s="1" t="str">
        <f>"00746401"</f>
        <v>00746401</v>
      </c>
      <c r="K125" s="1" t="str">
        <f>"３１０　　　　　　　　　　　　　　　　　"</f>
        <v>３１０　　　　　　　　　　　　　　　　　</v>
      </c>
      <c r="L125" s="1"/>
    </row>
    <row r="126" spans="1:12" ht="18" customHeight="1" x14ac:dyDescent="0.15">
      <c r="A126" s="11">
        <v>4717</v>
      </c>
      <c r="B126" s="11" t="s">
        <v>436</v>
      </c>
      <c r="C126" s="11" t="s">
        <v>437</v>
      </c>
      <c r="D126" s="11">
        <v>1</v>
      </c>
      <c r="E126" s="11" t="s">
        <v>4</v>
      </c>
      <c r="F126" s="12">
        <v>96820</v>
      </c>
      <c r="G126" s="12">
        <v>96820</v>
      </c>
      <c r="H126" s="11" t="str">
        <f t="shared" si="6"/>
        <v>平成3年3月31日</v>
      </c>
      <c r="I126" s="22">
        <f t="shared" si="7"/>
        <v>33328</v>
      </c>
      <c r="J126" s="1" t="str">
        <f>"00746403"</f>
        <v>00746403</v>
      </c>
      <c r="K126" s="1" t="str">
        <f>"３１１　　　　　　　　　　　　　　　　　"</f>
        <v>３１１　　　　　　　　　　　　　　　　　</v>
      </c>
      <c r="L126" s="1"/>
    </row>
    <row r="127" spans="1:12" ht="18" customHeight="1" x14ac:dyDescent="0.15">
      <c r="A127" s="11">
        <v>4718</v>
      </c>
      <c r="B127" s="11" t="s">
        <v>436</v>
      </c>
      <c r="C127" s="11" t="s">
        <v>437</v>
      </c>
      <c r="D127" s="11">
        <v>1</v>
      </c>
      <c r="E127" s="11" t="s">
        <v>4</v>
      </c>
      <c r="F127" s="12">
        <v>96820</v>
      </c>
      <c r="G127" s="12">
        <v>96820</v>
      </c>
      <c r="H127" s="11" t="str">
        <f t="shared" si="6"/>
        <v>平成3年3月31日</v>
      </c>
      <c r="I127" s="22">
        <f t="shared" si="7"/>
        <v>33328</v>
      </c>
      <c r="J127" s="1" t="str">
        <f>"00746405"</f>
        <v>00746405</v>
      </c>
      <c r="K127" s="1" t="str">
        <f>"３１２　　　　　　　　　　　　　　　　　"</f>
        <v>３１２　　　　　　　　　　　　　　　　　</v>
      </c>
      <c r="L127" s="1"/>
    </row>
    <row r="128" spans="1:12" ht="18" customHeight="1" x14ac:dyDescent="0.15">
      <c r="A128" s="11">
        <v>4719</v>
      </c>
      <c r="B128" s="11" t="s">
        <v>436</v>
      </c>
      <c r="C128" s="11" t="s">
        <v>437</v>
      </c>
      <c r="D128" s="11">
        <v>1</v>
      </c>
      <c r="E128" s="11" t="s">
        <v>4</v>
      </c>
      <c r="F128" s="12">
        <v>96820</v>
      </c>
      <c r="G128" s="12">
        <v>96820</v>
      </c>
      <c r="H128" s="11" t="str">
        <f t="shared" si="6"/>
        <v>平成3年3月31日</v>
      </c>
      <c r="I128" s="22">
        <f t="shared" si="7"/>
        <v>33328</v>
      </c>
      <c r="J128" s="1" t="str">
        <f>"00746407"</f>
        <v>00746407</v>
      </c>
      <c r="K128" s="1" t="str">
        <f>"３１３　　　　　　　　　　　　　　　　　"</f>
        <v>３１３　　　　　　　　　　　　　　　　　</v>
      </c>
      <c r="L128" s="1"/>
    </row>
    <row r="129" spans="1:12" ht="18" customHeight="1" x14ac:dyDescent="0.15">
      <c r="A129" s="11">
        <v>4720</v>
      </c>
      <c r="B129" s="11" t="s">
        <v>436</v>
      </c>
      <c r="C129" s="11" t="s">
        <v>437</v>
      </c>
      <c r="D129" s="11">
        <v>1</v>
      </c>
      <c r="E129" s="11" t="s">
        <v>4</v>
      </c>
      <c r="F129" s="12">
        <v>96820</v>
      </c>
      <c r="G129" s="12">
        <v>96820</v>
      </c>
      <c r="H129" s="11" t="str">
        <f t="shared" si="6"/>
        <v>平成3年3月31日</v>
      </c>
      <c r="I129" s="22">
        <f t="shared" si="7"/>
        <v>33328</v>
      </c>
      <c r="J129" s="1" t="str">
        <f>"00746409"</f>
        <v>00746409</v>
      </c>
      <c r="K129" s="1" t="str">
        <f>"３１４　　　　　　　　　　　　　　　　　"</f>
        <v>３１４　　　　　　　　　　　　　　　　　</v>
      </c>
      <c r="L129" s="1"/>
    </row>
    <row r="130" spans="1:12" ht="18" customHeight="1" x14ac:dyDescent="0.15">
      <c r="A130" s="11">
        <v>4864</v>
      </c>
      <c r="B130" s="11" t="s">
        <v>481</v>
      </c>
      <c r="C130" s="11" t="s">
        <v>482</v>
      </c>
      <c r="D130" s="11">
        <v>1</v>
      </c>
      <c r="E130" s="11" t="s">
        <v>21</v>
      </c>
      <c r="F130" s="12">
        <v>57680</v>
      </c>
      <c r="G130" s="12">
        <v>57680</v>
      </c>
      <c r="H130" s="11" t="str">
        <f t="shared" si="6"/>
        <v>平成3年3月31日</v>
      </c>
      <c r="I130" s="22">
        <f t="shared" si="7"/>
        <v>33328</v>
      </c>
      <c r="J130" s="1" t="str">
        <f>"00746889"</f>
        <v>00746889</v>
      </c>
      <c r="K130" s="1" t="str">
        <f>"１　　　　　　　　　　　　　　　　　　　"</f>
        <v>１　　　　　　　　　　　　　　　　　　　</v>
      </c>
      <c r="L130" s="1"/>
    </row>
    <row r="131" spans="1:12" ht="18" customHeight="1" x14ac:dyDescent="0.15">
      <c r="A131" s="11">
        <v>4904</v>
      </c>
      <c r="B131" s="11" t="s">
        <v>502</v>
      </c>
      <c r="C131" s="11" t="s">
        <v>503</v>
      </c>
      <c r="D131" s="11">
        <v>1</v>
      </c>
      <c r="E131" s="11" t="s">
        <v>61</v>
      </c>
      <c r="F131" s="12">
        <v>29355</v>
      </c>
      <c r="G131" s="12">
        <v>29355</v>
      </c>
      <c r="H131" s="11" t="str">
        <f t="shared" si="6"/>
        <v>平成3年3月31日</v>
      </c>
      <c r="I131" s="22">
        <f t="shared" si="7"/>
        <v>33328</v>
      </c>
      <c r="J131" s="1" t="str">
        <f>"00746971"</f>
        <v>00746971</v>
      </c>
      <c r="K131" s="1" t="str">
        <f>"３３１　　　　　　　　　　　　　　　　　"</f>
        <v>３３１　　　　　　　　　　　　　　　　　</v>
      </c>
      <c r="L131" s="1"/>
    </row>
    <row r="132" spans="1:12" ht="18" customHeight="1" x14ac:dyDescent="0.15">
      <c r="A132" s="11">
        <v>4936</v>
      </c>
      <c r="B132" s="11" t="s">
        <v>502</v>
      </c>
      <c r="C132" s="11" t="s">
        <v>513</v>
      </c>
      <c r="D132" s="11">
        <v>1</v>
      </c>
      <c r="E132" s="11" t="s">
        <v>61</v>
      </c>
      <c r="F132" s="12">
        <v>25750</v>
      </c>
      <c r="G132" s="12">
        <v>25750</v>
      </c>
      <c r="H132" s="11" t="str">
        <f t="shared" si="6"/>
        <v>平成3年3月31日</v>
      </c>
      <c r="I132" s="22">
        <f t="shared" si="7"/>
        <v>33328</v>
      </c>
      <c r="J132" s="1" t="str">
        <f>"00747053"</f>
        <v>00747053</v>
      </c>
      <c r="K132" s="1" t="str">
        <f>"３６１　　　　　　　　　　　　　　　　　"</f>
        <v>３６１　　　　　　　　　　　　　　　　　</v>
      </c>
      <c r="L132" s="1"/>
    </row>
    <row r="133" spans="1:12" ht="18" customHeight="1" x14ac:dyDescent="0.15">
      <c r="A133" s="11">
        <v>4937</v>
      </c>
      <c r="B133" s="11" t="s">
        <v>502</v>
      </c>
      <c r="C133" s="11" t="s">
        <v>513</v>
      </c>
      <c r="D133" s="11">
        <v>1</v>
      </c>
      <c r="E133" s="11" t="s">
        <v>61</v>
      </c>
      <c r="F133" s="12">
        <v>25750</v>
      </c>
      <c r="G133" s="12">
        <v>25750</v>
      </c>
      <c r="H133" s="11" t="str">
        <f t="shared" si="6"/>
        <v>平成3年3月31日</v>
      </c>
      <c r="I133" s="22">
        <f t="shared" si="7"/>
        <v>33328</v>
      </c>
      <c r="J133" s="1" t="str">
        <f>"00747055"</f>
        <v>00747055</v>
      </c>
      <c r="K133" s="1" t="str">
        <f>"３６２　　　　　　　　　　　　　　　　　"</f>
        <v>３６２　　　　　　　　　　　　　　　　　</v>
      </c>
      <c r="L133" s="1"/>
    </row>
    <row r="134" spans="1:12" ht="18" customHeight="1" x14ac:dyDescent="0.15">
      <c r="A134" s="11">
        <v>4938</v>
      </c>
      <c r="B134" s="11" t="s">
        <v>502</v>
      </c>
      <c r="C134" s="11" t="s">
        <v>513</v>
      </c>
      <c r="D134" s="11">
        <v>1</v>
      </c>
      <c r="E134" s="11" t="s">
        <v>61</v>
      </c>
      <c r="F134" s="12">
        <v>25750</v>
      </c>
      <c r="G134" s="12">
        <v>25750</v>
      </c>
      <c r="H134" s="11" t="str">
        <f t="shared" si="6"/>
        <v>平成3年3月31日</v>
      </c>
      <c r="I134" s="22">
        <f t="shared" si="7"/>
        <v>33328</v>
      </c>
      <c r="J134" s="1" t="str">
        <f>"00747057"</f>
        <v>00747057</v>
      </c>
      <c r="K134" s="1" t="str">
        <f>"３６３　　　　　　　　　　　　　　　　　"</f>
        <v>３６３　　　　　　　　　　　　　　　　　</v>
      </c>
      <c r="L134" s="1"/>
    </row>
    <row r="135" spans="1:12" ht="18" customHeight="1" x14ac:dyDescent="0.15">
      <c r="A135" s="11">
        <v>4939</v>
      </c>
      <c r="B135" s="11" t="s">
        <v>502</v>
      </c>
      <c r="C135" s="11" t="s">
        <v>513</v>
      </c>
      <c r="D135" s="11">
        <v>1</v>
      </c>
      <c r="E135" s="11" t="s">
        <v>61</v>
      </c>
      <c r="F135" s="12">
        <v>25750</v>
      </c>
      <c r="G135" s="12">
        <v>25750</v>
      </c>
      <c r="H135" s="11" t="str">
        <f t="shared" si="6"/>
        <v>平成3年3月31日</v>
      </c>
      <c r="I135" s="22">
        <f t="shared" si="7"/>
        <v>33328</v>
      </c>
      <c r="J135" s="1" t="str">
        <f>"00747059"</f>
        <v>00747059</v>
      </c>
      <c r="K135" s="1" t="str">
        <f>"３６４　　　　　　　　　　　　　　　　　"</f>
        <v>３６４　　　　　　　　　　　　　　　　　</v>
      </c>
      <c r="L135" s="1"/>
    </row>
    <row r="136" spans="1:12" s="40" customFormat="1" ht="18" customHeight="1" x14ac:dyDescent="0.15">
      <c r="A136" s="25">
        <v>5092</v>
      </c>
      <c r="B136" s="25" t="s">
        <v>35</v>
      </c>
      <c r="C136" s="25" t="s">
        <v>529</v>
      </c>
      <c r="D136" s="25">
        <v>1</v>
      </c>
      <c r="E136" s="25" t="s">
        <v>9</v>
      </c>
      <c r="F136" s="38">
        <v>98468</v>
      </c>
      <c r="G136" s="38" t="s">
        <v>670</v>
      </c>
      <c r="H136" s="25" t="str">
        <f t="shared" si="6"/>
        <v>平成3年3月31日</v>
      </c>
      <c r="I136" s="39">
        <f t="shared" si="7"/>
        <v>33328</v>
      </c>
      <c r="J136" s="25" t="str">
        <f>"00747419"</f>
        <v>00747419</v>
      </c>
      <c r="K136" s="25" t="str">
        <f>"３０１　　　　　　　　　　　　　　　　　"</f>
        <v>３０１　　　　　　　　　　　　　　　　　</v>
      </c>
      <c r="L136" s="25"/>
    </row>
    <row r="137" spans="1:12" s="40" customFormat="1" ht="18" customHeight="1" x14ac:dyDescent="0.15">
      <c r="A137" s="25">
        <v>5093</v>
      </c>
      <c r="B137" s="25" t="s">
        <v>35</v>
      </c>
      <c r="C137" s="25" t="s">
        <v>529</v>
      </c>
      <c r="D137" s="25">
        <v>1</v>
      </c>
      <c r="E137" s="25" t="s">
        <v>9</v>
      </c>
      <c r="F137" s="38">
        <v>98468</v>
      </c>
      <c r="G137" s="38" t="s">
        <v>670</v>
      </c>
      <c r="H137" s="25" t="str">
        <f t="shared" si="6"/>
        <v>平成3年3月31日</v>
      </c>
      <c r="I137" s="39">
        <f t="shared" si="7"/>
        <v>33328</v>
      </c>
      <c r="J137" s="25" t="str">
        <f>"00747421"</f>
        <v>00747421</v>
      </c>
      <c r="K137" s="25" t="str">
        <f>"３０２　　　　　　　　　　　　　　　　　"</f>
        <v>３０２　　　　　　　　　　　　　　　　　</v>
      </c>
      <c r="L137" s="25"/>
    </row>
    <row r="138" spans="1:12" s="40" customFormat="1" ht="18" customHeight="1" x14ac:dyDescent="0.15">
      <c r="A138" s="25">
        <v>5094</v>
      </c>
      <c r="B138" s="25" t="s">
        <v>35</v>
      </c>
      <c r="C138" s="25" t="s">
        <v>529</v>
      </c>
      <c r="D138" s="25">
        <v>1</v>
      </c>
      <c r="E138" s="25" t="s">
        <v>9</v>
      </c>
      <c r="F138" s="38">
        <v>98468</v>
      </c>
      <c r="G138" s="38" t="s">
        <v>670</v>
      </c>
      <c r="H138" s="25" t="str">
        <f t="shared" si="6"/>
        <v>平成3年3月31日</v>
      </c>
      <c r="I138" s="39">
        <f t="shared" si="7"/>
        <v>33328</v>
      </c>
      <c r="J138" s="25" t="str">
        <f>"00747423"</f>
        <v>00747423</v>
      </c>
      <c r="K138" s="25" t="str">
        <f>"３０３　　　　　　　　　　　　　　　　　"</f>
        <v>３０３　　　　　　　　　　　　　　　　　</v>
      </c>
      <c r="L138" s="25"/>
    </row>
    <row r="139" spans="1:12" s="40" customFormat="1" ht="18" customHeight="1" x14ac:dyDescent="0.15">
      <c r="A139" s="25">
        <v>5095</v>
      </c>
      <c r="B139" s="25" t="s">
        <v>35</v>
      </c>
      <c r="C139" s="25" t="s">
        <v>529</v>
      </c>
      <c r="D139" s="25">
        <v>1</v>
      </c>
      <c r="E139" s="25" t="s">
        <v>9</v>
      </c>
      <c r="F139" s="38">
        <v>98468</v>
      </c>
      <c r="G139" s="38" t="s">
        <v>670</v>
      </c>
      <c r="H139" s="25" t="str">
        <f t="shared" si="6"/>
        <v>平成3年3月31日</v>
      </c>
      <c r="I139" s="39">
        <f t="shared" si="7"/>
        <v>33328</v>
      </c>
      <c r="J139" s="25" t="str">
        <f>"00747425"</f>
        <v>00747425</v>
      </c>
      <c r="K139" s="25" t="str">
        <f>"３０４　　　　　　　　　　　　　　　　　"</f>
        <v>３０４　　　　　　　　　　　　　　　　　</v>
      </c>
      <c r="L139" s="25"/>
    </row>
    <row r="140" spans="1:12" s="40" customFormat="1" ht="18" customHeight="1" x14ac:dyDescent="0.15">
      <c r="A140" s="25">
        <v>5096</v>
      </c>
      <c r="B140" s="25" t="s">
        <v>35</v>
      </c>
      <c r="C140" s="25" t="s">
        <v>529</v>
      </c>
      <c r="D140" s="25">
        <v>1</v>
      </c>
      <c r="E140" s="25" t="s">
        <v>9</v>
      </c>
      <c r="F140" s="38">
        <v>98468</v>
      </c>
      <c r="G140" s="38" t="s">
        <v>670</v>
      </c>
      <c r="H140" s="25" t="str">
        <f t="shared" si="6"/>
        <v>平成3年3月31日</v>
      </c>
      <c r="I140" s="39">
        <f t="shared" si="7"/>
        <v>33328</v>
      </c>
      <c r="J140" s="25" t="str">
        <f>"00747427"</f>
        <v>00747427</v>
      </c>
      <c r="K140" s="25" t="str">
        <f>"３０５　　　　　　　　　　　　　　　　　"</f>
        <v>３０５　　　　　　　　　　　　　　　　　</v>
      </c>
      <c r="L140" s="25"/>
    </row>
    <row r="141" spans="1:12" s="40" customFormat="1" ht="18" customHeight="1" x14ac:dyDescent="0.15">
      <c r="A141" s="25">
        <v>5097</v>
      </c>
      <c r="B141" s="25" t="s">
        <v>35</v>
      </c>
      <c r="C141" s="25" t="s">
        <v>529</v>
      </c>
      <c r="D141" s="25">
        <v>1</v>
      </c>
      <c r="E141" s="25" t="s">
        <v>9</v>
      </c>
      <c r="F141" s="38">
        <v>98468</v>
      </c>
      <c r="G141" s="38" t="s">
        <v>670</v>
      </c>
      <c r="H141" s="25" t="str">
        <f t="shared" si="6"/>
        <v>平成3年3月31日</v>
      </c>
      <c r="I141" s="39">
        <f t="shared" si="7"/>
        <v>33328</v>
      </c>
      <c r="J141" s="25" t="str">
        <f>"00747429"</f>
        <v>00747429</v>
      </c>
      <c r="K141" s="25" t="str">
        <f>"３０６　　　　　　　　　　　　　　　　　"</f>
        <v>３０６　　　　　　　　　　　　　　　　　</v>
      </c>
      <c r="L141" s="25"/>
    </row>
    <row r="142" spans="1:12" s="40" customFormat="1" ht="18" customHeight="1" x14ac:dyDescent="0.15">
      <c r="A142" s="25">
        <v>5098</v>
      </c>
      <c r="B142" s="25" t="s">
        <v>35</v>
      </c>
      <c r="C142" s="25" t="s">
        <v>529</v>
      </c>
      <c r="D142" s="25">
        <v>1</v>
      </c>
      <c r="E142" s="25" t="s">
        <v>9</v>
      </c>
      <c r="F142" s="38">
        <v>98468</v>
      </c>
      <c r="G142" s="38" t="s">
        <v>670</v>
      </c>
      <c r="H142" s="25" t="str">
        <f t="shared" si="6"/>
        <v>平成3年3月31日</v>
      </c>
      <c r="I142" s="39">
        <f t="shared" si="7"/>
        <v>33328</v>
      </c>
      <c r="J142" s="25" t="str">
        <f>"00747431"</f>
        <v>00747431</v>
      </c>
      <c r="K142" s="25" t="str">
        <f>"３０７　　　　　　　　　　　　　　　　　"</f>
        <v>３０７　　　　　　　　　　　　　　　　　</v>
      </c>
      <c r="L142" s="25"/>
    </row>
    <row r="143" spans="1:12" s="40" customFormat="1" ht="18" customHeight="1" x14ac:dyDescent="0.15">
      <c r="A143" s="25">
        <v>5099</v>
      </c>
      <c r="B143" s="25" t="s">
        <v>35</v>
      </c>
      <c r="C143" s="25" t="s">
        <v>529</v>
      </c>
      <c r="D143" s="25">
        <v>1</v>
      </c>
      <c r="E143" s="25" t="s">
        <v>9</v>
      </c>
      <c r="F143" s="38">
        <v>98468</v>
      </c>
      <c r="G143" s="38" t="s">
        <v>670</v>
      </c>
      <c r="H143" s="25" t="str">
        <f t="shared" ref="H143:H155" si="8">"平成3年3月31日"</f>
        <v>平成3年3月31日</v>
      </c>
      <c r="I143" s="39">
        <f t="shared" si="7"/>
        <v>33328</v>
      </c>
      <c r="J143" s="25" t="str">
        <f>"00747433"</f>
        <v>00747433</v>
      </c>
      <c r="K143" s="25" t="str">
        <f>"３０８　　　　　　　　　　　　　　　　　"</f>
        <v>３０８　　　　　　　　　　　　　　　　　</v>
      </c>
      <c r="L143" s="25"/>
    </row>
    <row r="144" spans="1:12" s="40" customFormat="1" ht="18" customHeight="1" x14ac:dyDescent="0.15">
      <c r="A144" s="25">
        <v>5100</v>
      </c>
      <c r="B144" s="25" t="s">
        <v>35</v>
      </c>
      <c r="C144" s="25" t="s">
        <v>529</v>
      </c>
      <c r="D144" s="25">
        <v>1</v>
      </c>
      <c r="E144" s="25" t="s">
        <v>9</v>
      </c>
      <c r="F144" s="38">
        <v>98468</v>
      </c>
      <c r="G144" s="38" t="s">
        <v>670</v>
      </c>
      <c r="H144" s="25" t="str">
        <f t="shared" si="8"/>
        <v>平成3年3月31日</v>
      </c>
      <c r="I144" s="39">
        <f t="shared" si="7"/>
        <v>33328</v>
      </c>
      <c r="J144" s="25" t="str">
        <f>"00747435"</f>
        <v>00747435</v>
      </c>
      <c r="K144" s="25" t="str">
        <f>"３０９　　　　　　　　　　　　　　　　　"</f>
        <v>３０９　　　　　　　　　　　　　　　　　</v>
      </c>
      <c r="L144" s="25"/>
    </row>
    <row r="145" spans="1:12" s="40" customFormat="1" ht="18" customHeight="1" x14ac:dyDescent="0.15">
      <c r="A145" s="25">
        <v>5101</v>
      </c>
      <c r="B145" s="25" t="s">
        <v>35</v>
      </c>
      <c r="C145" s="25" t="s">
        <v>529</v>
      </c>
      <c r="D145" s="25">
        <v>1</v>
      </c>
      <c r="E145" s="25" t="s">
        <v>9</v>
      </c>
      <c r="F145" s="38">
        <v>98468</v>
      </c>
      <c r="G145" s="38" t="s">
        <v>670</v>
      </c>
      <c r="H145" s="25" t="str">
        <f t="shared" si="8"/>
        <v>平成3年3月31日</v>
      </c>
      <c r="I145" s="39">
        <f t="shared" si="7"/>
        <v>33328</v>
      </c>
      <c r="J145" s="25" t="str">
        <f>"00747437"</f>
        <v>00747437</v>
      </c>
      <c r="K145" s="25" t="str">
        <f>"３１０　　　　　　　　　　　　　　　　　"</f>
        <v>３１０　　　　　　　　　　　　　　　　　</v>
      </c>
      <c r="L145" s="25"/>
    </row>
    <row r="146" spans="1:12" s="40" customFormat="1" ht="18" customHeight="1" x14ac:dyDescent="0.15">
      <c r="A146" s="25">
        <v>5102</v>
      </c>
      <c r="B146" s="25" t="s">
        <v>35</v>
      </c>
      <c r="C146" s="25" t="s">
        <v>529</v>
      </c>
      <c r="D146" s="25">
        <v>1</v>
      </c>
      <c r="E146" s="25" t="s">
        <v>9</v>
      </c>
      <c r="F146" s="38">
        <v>98468</v>
      </c>
      <c r="G146" s="38" t="s">
        <v>670</v>
      </c>
      <c r="H146" s="25" t="str">
        <f t="shared" si="8"/>
        <v>平成3年3月31日</v>
      </c>
      <c r="I146" s="39">
        <f t="shared" ref="I146:I209" si="9">DATEVALUE(H146)</f>
        <v>33328</v>
      </c>
      <c r="J146" s="25" t="str">
        <f>"00747439"</f>
        <v>00747439</v>
      </c>
      <c r="K146" s="25" t="str">
        <f>"３１１　　　　　　　　　　　　　　　　　"</f>
        <v>３１１　　　　　　　　　　　　　　　　　</v>
      </c>
      <c r="L146" s="25"/>
    </row>
    <row r="147" spans="1:12" s="40" customFormat="1" ht="18" customHeight="1" x14ac:dyDescent="0.15">
      <c r="A147" s="25">
        <v>5103</v>
      </c>
      <c r="B147" s="25" t="s">
        <v>35</v>
      </c>
      <c r="C147" s="25" t="s">
        <v>529</v>
      </c>
      <c r="D147" s="25">
        <v>1</v>
      </c>
      <c r="E147" s="25" t="s">
        <v>9</v>
      </c>
      <c r="F147" s="38">
        <v>98468</v>
      </c>
      <c r="G147" s="38" t="s">
        <v>670</v>
      </c>
      <c r="H147" s="25" t="str">
        <f t="shared" si="8"/>
        <v>平成3年3月31日</v>
      </c>
      <c r="I147" s="39">
        <f t="shared" si="9"/>
        <v>33328</v>
      </c>
      <c r="J147" s="25" t="str">
        <f>"00747441"</f>
        <v>00747441</v>
      </c>
      <c r="K147" s="25" t="str">
        <f>"３１２　　　　　　　　　　　　　　　　　"</f>
        <v>３１２　　　　　　　　　　　　　　　　　</v>
      </c>
      <c r="L147" s="25"/>
    </row>
    <row r="148" spans="1:12" s="40" customFormat="1" ht="18" customHeight="1" x14ac:dyDescent="0.15">
      <c r="A148" s="25">
        <v>5104</v>
      </c>
      <c r="B148" s="25" t="s">
        <v>35</v>
      </c>
      <c r="C148" s="25" t="s">
        <v>529</v>
      </c>
      <c r="D148" s="25">
        <v>1</v>
      </c>
      <c r="E148" s="25" t="s">
        <v>9</v>
      </c>
      <c r="F148" s="38">
        <v>98468</v>
      </c>
      <c r="G148" s="38" t="s">
        <v>670</v>
      </c>
      <c r="H148" s="25" t="str">
        <f t="shared" si="8"/>
        <v>平成3年3月31日</v>
      </c>
      <c r="I148" s="39">
        <f t="shared" si="9"/>
        <v>33328</v>
      </c>
      <c r="J148" s="25" t="str">
        <f>"00747443"</f>
        <v>00747443</v>
      </c>
      <c r="K148" s="25" t="str">
        <f>"３１３　　　　　　　　　　　　　　　　　"</f>
        <v>３１３　　　　　　　　　　　　　　　　　</v>
      </c>
      <c r="L148" s="25"/>
    </row>
    <row r="149" spans="1:12" s="40" customFormat="1" ht="18" customHeight="1" x14ac:dyDescent="0.15">
      <c r="A149" s="25">
        <v>5105</v>
      </c>
      <c r="B149" s="25" t="s">
        <v>35</v>
      </c>
      <c r="C149" s="25" t="s">
        <v>529</v>
      </c>
      <c r="D149" s="25">
        <v>1</v>
      </c>
      <c r="E149" s="25" t="s">
        <v>9</v>
      </c>
      <c r="F149" s="38">
        <v>98468</v>
      </c>
      <c r="G149" s="38" t="s">
        <v>670</v>
      </c>
      <c r="H149" s="25" t="str">
        <f t="shared" si="8"/>
        <v>平成3年3月31日</v>
      </c>
      <c r="I149" s="39">
        <f t="shared" si="9"/>
        <v>33328</v>
      </c>
      <c r="J149" s="25" t="str">
        <f>"00747445"</f>
        <v>00747445</v>
      </c>
      <c r="K149" s="25" t="str">
        <f>"３１４　　　　　　　　　　　　　　　　　"</f>
        <v>３１４　　　　　　　　　　　　　　　　　</v>
      </c>
      <c r="L149" s="25"/>
    </row>
    <row r="150" spans="1:12" s="40" customFormat="1" ht="18" customHeight="1" x14ac:dyDescent="0.15">
      <c r="A150" s="25">
        <v>5106</v>
      </c>
      <c r="B150" s="25" t="s">
        <v>35</v>
      </c>
      <c r="C150" s="25" t="s">
        <v>529</v>
      </c>
      <c r="D150" s="25">
        <v>1</v>
      </c>
      <c r="E150" s="25" t="s">
        <v>9</v>
      </c>
      <c r="F150" s="38">
        <v>98468</v>
      </c>
      <c r="G150" s="38" t="s">
        <v>670</v>
      </c>
      <c r="H150" s="25" t="str">
        <f t="shared" si="8"/>
        <v>平成3年3月31日</v>
      </c>
      <c r="I150" s="39">
        <f t="shared" si="9"/>
        <v>33328</v>
      </c>
      <c r="J150" s="25" t="str">
        <f>"00747447"</f>
        <v>00747447</v>
      </c>
      <c r="K150" s="25" t="str">
        <f>"３１５　　　　　　　　　　　　　　　　　"</f>
        <v>３１５　　　　　　　　　　　　　　　　　</v>
      </c>
      <c r="L150" s="25"/>
    </row>
    <row r="151" spans="1:12" s="40" customFormat="1" ht="18" customHeight="1" x14ac:dyDescent="0.15">
      <c r="A151" s="25">
        <v>5107</v>
      </c>
      <c r="B151" s="25" t="s">
        <v>35</v>
      </c>
      <c r="C151" s="25" t="s">
        <v>529</v>
      </c>
      <c r="D151" s="25">
        <v>1</v>
      </c>
      <c r="E151" s="25" t="s">
        <v>9</v>
      </c>
      <c r="F151" s="38">
        <v>98468</v>
      </c>
      <c r="G151" s="38" t="s">
        <v>670</v>
      </c>
      <c r="H151" s="25" t="str">
        <f t="shared" si="8"/>
        <v>平成3年3月31日</v>
      </c>
      <c r="I151" s="39">
        <f t="shared" si="9"/>
        <v>33328</v>
      </c>
      <c r="J151" s="25" t="str">
        <f>"00747449"</f>
        <v>00747449</v>
      </c>
      <c r="K151" s="25" t="str">
        <f>"３１６　　　　　　　　　　　　　　　　　"</f>
        <v>３１６　　　　　　　　　　　　　　　　　</v>
      </c>
      <c r="L151" s="25"/>
    </row>
    <row r="152" spans="1:12" s="40" customFormat="1" ht="18" customHeight="1" x14ac:dyDescent="0.15">
      <c r="A152" s="25">
        <v>5108</v>
      </c>
      <c r="B152" s="25" t="s">
        <v>35</v>
      </c>
      <c r="C152" s="25" t="s">
        <v>529</v>
      </c>
      <c r="D152" s="25">
        <v>1</v>
      </c>
      <c r="E152" s="25" t="s">
        <v>9</v>
      </c>
      <c r="F152" s="38">
        <v>98468</v>
      </c>
      <c r="G152" s="38" t="s">
        <v>670</v>
      </c>
      <c r="H152" s="25" t="str">
        <f t="shared" si="8"/>
        <v>平成3年3月31日</v>
      </c>
      <c r="I152" s="39">
        <f t="shared" si="9"/>
        <v>33328</v>
      </c>
      <c r="J152" s="25" t="str">
        <f>"00747451"</f>
        <v>00747451</v>
      </c>
      <c r="K152" s="25" t="str">
        <f>"３１７　　　　　　　　　　　　　　　　　"</f>
        <v>３１７　　　　　　　　　　　　　　　　　</v>
      </c>
      <c r="L152" s="25"/>
    </row>
    <row r="153" spans="1:12" s="40" customFormat="1" ht="18" customHeight="1" x14ac:dyDescent="0.15">
      <c r="A153" s="25">
        <v>5109</v>
      </c>
      <c r="B153" s="25" t="s">
        <v>35</v>
      </c>
      <c r="C153" s="25" t="s">
        <v>529</v>
      </c>
      <c r="D153" s="25">
        <v>1</v>
      </c>
      <c r="E153" s="25" t="s">
        <v>9</v>
      </c>
      <c r="F153" s="38">
        <v>98468</v>
      </c>
      <c r="G153" s="38" t="s">
        <v>670</v>
      </c>
      <c r="H153" s="25" t="str">
        <f t="shared" si="8"/>
        <v>平成3年3月31日</v>
      </c>
      <c r="I153" s="39">
        <f t="shared" si="9"/>
        <v>33328</v>
      </c>
      <c r="J153" s="25" t="str">
        <f>"00747453"</f>
        <v>00747453</v>
      </c>
      <c r="K153" s="25" t="str">
        <f>"３１８　　　　　　　　　　　　　　　　　"</f>
        <v>３１８　　　　　　　　　　　　　　　　　</v>
      </c>
      <c r="L153" s="25"/>
    </row>
    <row r="154" spans="1:12" s="40" customFormat="1" ht="18" customHeight="1" x14ac:dyDescent="0.15">
      <c r="A154" s="25">
        <v>5110</v>
      </c>
      <c r="B154" s="25" t="s">
        <v>35</v>
      </c>
      <c r="C154" s="25" t="s">
        <v>529</v>
      </c>
      <c r="D154" s="25">
        <v>1</v>
      </c>
      <c r="E154" s="25" t="s">
        <v>9</v>
      </c>
      <c r="F154" s="38">
        <v>98468</v>
      </c>
      <c r="G154" s="38" t="s">
        <v>670</v>
      </c>
      <c r="H154" s="25" t="str">
        <f t="shared" si="8"/>
        <v>平成3年3月31日</v>
      </c>
      <c r="I154" s="39">
        <f t="shared" si="9"/>
        <v>33328</v>
      </c>
      <c r="J154" s="25" t="str">
        <f>"00747455"</f>
        <v>00747455</v>
      </c>
      <c r="K154" s="25" t="str">
        <f>"３１９　　　　　　　　　　　　　　　　　"</f>
        <v>３１９　　　　　　　　　　　　　　　　　</v>
      </c>
      <c r="L154" s="25"/>
    </row>
    <row r="155" spans="1:12" s="40" customFormat="1" ht="18" customHeight="1" x14ac:dyDescent="0.15">
      <c r="A155" s="25">
        <v>5111</v>
      </c>
      <c r="B155" s="25" t="s">
        <v>35</v>
      </c>
      <c r="C155" s="25" t="s">
        <v>529</v>
      </c>
      <c r="D155" s="25">
        <v>1</v>
      </c>
      <c r="E155" s="25" t="s">
        <v>9</v>
      </c>
      <c r="F155" s="38">
        <v>98468</v>
      </c>
      <c r="G155" s="38" t="s">
        <v>670</v>
      </c>
      <c r="H155" s="25" t="str">
        <f t="shared" si="8"/>
        <v>平成3年3月31日</v>
      </c>
      <c r="I155" s="39">
        <f t="shared" si="9"/>
        <v>33328</v>
      </c>
      <c r="J155" s="25" t="str">
        <f>"00747457"</f>
        <v>00747457</v>
      </c>
      <c r="K155" s="25" t="str">
        <f>"３２０　　　　　　　　　　　　　　　　　"</f>
        <v>３２０　　　　　　　　　　　　　　　　　</v>
      </c>
      <c r="L155" s="25"/>
    </row>
    <row r="156" spans="1:12" ht="18" customHeight="1" x14ac:dyDescent="0.15">
      <c r="A156" s="11">
        <v>4033</v>
      </c>
      <c r="B156" s="11" t="s">
        <v>57</v>
      </c>
      <c r="C156" s="11" t="s">
        <v>277</v>
      </c>
      <c r="D156" s="11">
        <v>1</v>
      </c>
      <c r="E156" s="11" t="s">
        <v>4</v>
      </c>
      <c r="F156" s="12">
        <v>29700</v>
      </c>
      <c r="G156" s="12">
        <v>29700</v>
      </c>
      <c r="H156" s="11" t="str">
        <f>"平成3年12月4日"</f>
        <v>平成3年12月4日</v>
      </c>
      <c r="I156" s="22">
        <f t="shared" si="9"/>
        <v>33576</v>
      </c>
      <c r="J156" s="1" t="str">
        <f>"00744729"</f>
        <v>00744729</v>
      </c>
      <c r="K156" s="1" t="str">
        <f>"３６　　　　　　　　　　　　　　　　　　"</f>
        <v>３６　　　　　　　　　　　　　　　　　　</v>
      </c>
      <c r="L156" s="1"/>
    </row>
    <row r="157" spans="1:12" ht="18" customHeight="1" x14ac:dyDescent="0.15">
      <c r="A157" s="1">
        <v>5532</v>
      </c>
      <c r="B157" s="11" t="s">
        <v>536</v>
      </c>
      <c r="C157" s="11" t="s">
        <v>576</v>
      </c>
      <c r="D157" s="11">
        <v>1</v>
      </c>
      <c r="E157" s="11" t="s">
        <v>9</v>
      </c>
      <c r="F157" s="12">
        <v>30900</v>
      </c>
      <c r="G157" s="12">
        <v>30900</v>
      </c>
      <c r="H157" s="11" t="str">
        <f t="shared" ref="H157:H176" si="10">"平成4年3月31日"</f>
        <v>平成4年3月31日</v>
      </c>
      <c r="I157" s="22">
        <f t="shared" si="9"/>
        <v>33694</v>
      </c>
      <c r="J157" s="1" t="str">
        <f>"00748298"</f>
        <v>00748298</v>
      </c>
      <c r="K157" s="1" t="str">
        <f>"６３５　　　　　　　　　　　　　　　　　"</f>
        <v>６３５　　　　　　　　　　　　　　　　　</v>
      </c>
      <c r="L157" s="1"/>
    </row>
    <row r="158" spans="1:12" ht="18" customHeight="1" x14ac:dyDescent="0.15">
      <c r="A158" s="1">
        <v>5533</v>
      </c>
      <c r="B158" s="11" t="s">
        <v>536</v>
      </c>
      <c r="C158" s="11" t="s">
        <v>576</v>
      </c>
      <c r="D158" s="11">
        <v>1</v>
      </c>
      <c r="E158" s="11" t="s">
        <v>9</v>
      </c>
      <c r="F158" s="12">
        <v>30900</v>
      </c>
      <c r="G158" s="12">
        <v>30900</v>
      </c>
      <c r="H158" s="11" t="str">
        <f t="shared" si="10"/>
        <v>平成4年3月31日</v>
      </c>
      <c r="I158" s="22">
        <f t="shared" si="9"/>
        <v>33694</v>
      </c>
      <c r="J158" s="1" t="str">
        <f>"00748300"</f>
        <v>00748300</v>
      </c>
      <c r="K158" s="1" t="str">
        <f>"６３６　　　　　　　　　　　　　　　　　"</f>
        <v>６３６　　　　　　　　　　　　　　　　　</v>
      </c>
      <c r="L158" s="1"/>
    </row>
    <row r="159" spans="1:12" ht="18" customHeight="1" x14ac:dyDescent="0.15">
      <c r="A159" s="1">
        <v>5534</v>
      </c>
      <c r="B159" s="11" t="s">
        <v>536</v>
      </c>
      <c r="C159" s="11" t="s">
        <v>576</v>
      </c>
      <c r="D159" s="11">
        <v>1</v>
      </c>
      <c r="E159" s="11" t="s">
        <v>9</v>
      </c>
      <c r="F159" s="12">
        <v>30900</v>
      </c>
      <c r="G159" s="12">
        <v>30900</v>
      </c>
      <c r="H159" s="11" t="str">
        <f t="shared" si="10"/>
        <v>平成4年3月31日</v>
      </c>
      <c r="I159" s="22">
        <f t="shared" si="9"/>
        <v>33694</v>
      </c>
      <c r="J159" s="1" t="str">
        <f>"00748303"</f>
        <v>00748303</v>
      </c>
      <c r="K159" s="1" t="str">
        <f>"６３７　　　　　　　　　　　　　　　　　"</f>
        <v>６３７　　　　　　　　　　　　　　　　　</v>
      </c>
      <c r="L159" s="1"/>
    </row>
    <row r="160" spans="1:12" ht="18" customHeight="1" x14ac:dyDescent="0.15">
      <c r="A160" s="1">
        <v>5535</v>
      </c>
      <c r="B160" s="11" t="s">
        <v>536</v>
      </c>
      <c r="C160" s="11" t="s">
        <v>576</v>
      </c>
      <c r="D160" s="11">
        <v>1</v>
      </c>
      <c r="E160" s="11" t="s">
        <v>9</v>
      </c>
      <c r="F160" s="12">
        <v>30900</v>
      </c>
      <c r="G160" s="12">
        <v>30900</v>
      </c>
      <c r="H160" s="11" t="str">
        <f t="shared" si="10"/>
        <v>平成4年3月31日</v>
      </c>
      <c r="I160" s="22">
        <f t="shared" si="9"/>
        <v>33694</v>
      </c>
      <c r="J160" s="1" t="str">
        <f>"00748305"</f>
        <v>00748305</v>
      </c>
      <c r="K160" s="1" t="str">
        <f>"６３８　　　　　　　　　　　　　　　　　"</f>
        <v>６３８　　　　　　　　　　　　　　　　　</v>
      </c>
      <c r="L160" s="1"/>
    </row>
    <row r="161" spans="1:12" ht="18" customHeight="1" x14ac:dyDescent="0.15">
      <c r="A161" s="1">
        <v>5536</v>
      </c>
      <c r="B161" s="11" t="s">
        <v>536</v>
      </c>
      <c r="C161" s="11" t="s">
        <v>576</v>
      </c>
      <c r="D161" s="11">
        <v>1</v>
      </c>
      <c r="E161" s="11" t="s">
        <v>9</v>
      </c>
      <c r="F161" s="12">
        <v>30900</v>
      </c>
      <c r="G161" s="12">
        <v>30900</v>
      </c>
      <c r="H161" s="11" t="str">
        <f t="shared" si="10"/>
        <v>平成4年3月31日</v>
      </c>
      <c r="I161" s="22">
        <f t="shared" si="9"/>
        <v>33694</v>
      </c>
      <c r="J161" s="1" t="str">
        <f>"00748307"</f>
        <v>00748307</v>
      </c>
      <c r="K161" s="1" t="str">
        <f>"６３９　　　　　　　　　　　　　　　　　"</f>
        <v>６３９　　　　　　　　　　　　　　　　　</v>
      </c>
      <c r="L161" s="1"/>
    </row>
    <row r="162" spans="1:12" ht="18" customHeight="1" x14ac:dyDescent="0.15">
      <c r="A162" s="1">
        <v>5537</v>
      </c>
      <c r="B162" s="11" t="s">
        <v>536</v>
      </c>
      <c r="C162" s="11" t="s">
        <v>576</v>
      </c>
      <c r="D162" s="11">
        <v>1</v>
      </c>
      <c r="E162" s="11" t="s">
        <v>9</v>
      </c>
      <c r="F162" s="12">
        <v>30900</v>
      </c>
      <c r="G162" s="12">
        <v>30900</v>
      </c>
      <c r="H162" s="11" t="str">
        <f t="shared" si="10"/>
        <v>平成4年3月31日</v>
      </c>
      <c r="I162" s="22">
        <f t="shared" si="9"/>
        <v>33694</v>
      </c>
      <c r="J162" s="1" t="str">
        <f>"00748309"</f>
        <v>00748309</v>
      </c>
      <c r="K162" s="1" t="str">
        <f>"６４０　　　　　　　　　　　　　　　　　"</f>
        <v>６４０　　　　　　　　　　　　　　　　　</v>
      </c>
      <c r="L162" s="1"/>
    </row>
    <row r="163" spans="1:12" ht="18" customHeight="1" x14ac:dyDescent="0.15">
      <c r="A163" s="1">
        <v>5538</v>
      </c>
      <c r="B163" s="11" t="s">
        <v>536</v>
      </c>
      <c r="C163" s="11" t="s">
        <v>576</v>
      </c>
      <c r="D163" s="11">
        <v>1</v>
      </c>
      <c r="E163" s="11" t="s">
        <v>9</v>
      </c>
      <c r="F163" s="12">
        <v>30900</v>
      </c>
      <c r="G163" s="12">
        <v>30900</v>
      </c>
      <c r="H163" s="11" t="str">
        <f t="shared" si="10"/>
        <v>平成4年3月31日</v>
      </c>
      <c r="I163" s="22">
        <f t="shared" si="9"/>
        <v>33694</v>
      </c>
      <c r="J163" s="1" t="str">
        <f>"00748311"</f>
        <v>00748311</v>
      </c>
      <c r="K163" s="1" t="str">
        <f>"６４１　　　　　　　　　　　　　　　　　"</f>
        <v>６４１　　　　　　　　　　　　　　　　　</v>
      </c>
      <c r="L163" s="1"/>
    </row>
    <row r="164" spans="1:12" ht="18" customHeight="1" x14ac:dyDescent="0.15">
      <c r="A164" s="1">
        <v>5539</v>
      </c>
      <c r="B164" s="11" t="s">
        <v>536</v>
      </c>
      <c r="C164" s="11" t="s">
        <v>576</v>
      </c>
      <c r="D164" s="11">
        <v>1</v>
      </c>
      <c r="E164" s="11" t="s">
        <v>9</v>
      </c>
      <c r="F164" s="12">
        <v>30900</v>
      </c>
      <c r="G164" s="12">
        <v>30900</v>
      </c>
      <c r="H164" s="11" t="str">
        <f t="shared" si="10"/>
        <v>平成4年3月31日</v>
      </c>
      <c r="I164" s="22">
        <f t="shared" si="9"/>
        <v>33694</v>
      </c>
      <c r="J164" s="1" t="str">
        <f>"00748313"</f>
        <v>00748313</v>
      </c>
      <c r="K164" s="1" t="str">
        <f>"６４２　　　　　　　　　　　　　　　　　"</f>
        <v>６４２　　　　　　　　　　　　　　　　　</v>
      </c>
      <c r="L164" s="1"/>
    </row>
    <row r="165" spans="1:12" ht="18" customHeight="1" x14ac:dyDescent="0.15">
      <c r="A165" s="1">
        <v>5540</v>
      </c>
      <c r="B165" s="11" t="s">
        <v>536</v>
      </c>
      <c r="C165" s="11" t="s">
        <v>576</v>
      </c>
      <c r="D165" s="11">
        <v>1</v>
      </c>
      <c r="E165" s="11" t="s">
        <v>9</v>
      </c>
      <c r="F165" s="12">
        <v>30900</v>
      </c>
      <c r="G165" s="12">
        <v>30900</v>
      </c>
      <c r="H165" s="11" t="str">
        <f t="shared" si="10"/>
        <v>平成4年3月31日</v>
      </c>
      <c r="I165" s="22">
        <f t="shared" si="9"/>
        <v>33694</v>
      </c>
      <c r="J165" s="1" t="str">
        <f>"00748315"</f>
        <v>00748315</v>
      </c>
      <c r="K165" s="1" t="str">
        <f>"６４３　　　　　　　　　　　　　　　　　"</f>
        <v>６４３　　　　　　　　　　　　　　　　　</v>
      </c>
      <c r="L165" s="1"/>
    </row>
    <row r="166" spans="1:12" ht="18" customHeight="1" x14ac:dyDescent="0.15">
      <c r="A166" s="1">
        <v>5541</v>
      </c>
      <c r="B166" s="11" t="s">
        <v>536</v>
      </c>
      <c r="C166" s="11" t="s">
        <v>576</v>
      </c>
      <c r="D166" s="11">
        <v>1</v>
      </c>
      <c r="E166" s="11" t="s">
        <v>9</v>
      </c>
      <c r="F166" s="12">
        <v>30900</v>
      </c>
      <c r="G166" s="12">
        <v>30900</v>
      </c>
      <c r="H166" s="11" t="str">
        <f t="shared" si="10"/>
        <v>平成4年3月31日</v>
      </c>
      <c r="I166" s="22">
        <f t="shared" si="9"/>
        <v>33694</v>
      </c>
      <c r="J166" s="1" t="str">
        <f>"00748317"</f>
        <v>00748317</v>
      </c>
      <c r="K166" s="1" t="str">
        <f>"６４４　　　　　　　　　　　　　　　　　"</f>
        <v>６４４　　　　　　　　　　　　　　　　　</v>
      </c>
      <c r="L166" s="1"/>
    </row>
    <row r="167" spans="1:12" ht="18" customHeight="1" x14ac:dyDescent="0.15">
      <c r="A167" s="1">
        <v>5542</v>
      </c>
      <c r="B167" s="11" t="s">
        <v>536</v>
      </c>
      <c r="C167" s="11" t="s">
        <v>576</v>
      </c>
      <c r="D167" s="11">
        <v>1</v>
      </c>
      <c r="E167" s="11" t="s">
        <v>9</v>
      </c>
      <c r="F167" s="12">
        <v>30900</v>
      </c>
      <c r="G167" s="12">
        <v>30900</v>
      </c>
      <c r="H167" s="11" t="str">
        <f t="shared" si="10"/>
        <v>平成4年3月31日</v>
      </c>
      <c r="I167" s="22">
        <f t="shared" si="9"/>
        <v>33694</v>
      </c>
      <c r="J167" s="1" t="str">
        <f>"00748319"</f>
        <v>00748319</v>
      </c>
      <c r="K167" s="1" t="str">
        <f>"６４５　　　　　　　　　　　　　　　　　"</f>
        <v>６４５　　　　　　　　　　　　　　　　　</v>
      </c>
      <c r="L167" s="1"/>
    </row>
    <row r="168" spans="1:12" ht="18" customHeight="1" x14ac:dyDescent="0.15">
      <c r="A168" s="1">
        <v>5543</v>
      </c>
      <c r="B168" s="11" t="s">
        <v>536</v>
      </c>
      <c r="C168" s="11" t="s">
        <v>576</v>
      </c>
      <c r="D168" s="11">
        <v>1</v>
      </c>
      <c r="E168" s="11" t="s">
        <v>9</v>
      </c>
      <c r="F168" s="12">
        <v>30900</v>
      </c>
      <c r="G168" s="12">
        <v>30900</v>
      </c>
      <c r="H168" s="11" t="str">
        <f t="shared" si="10"/>
        <v>平成4年3月31日</v>
      </c>
      <c r="I168" s="22">
        <f t="shared" si="9"/>
        <v>33694</v>
      </c>
      <c r="J168" s="1" t="str">
        <f>"00748321"</f>
        <v>00748321</v>
      </c>
      <c r="K168" s="1" t="str">
        <f>"６４６　　　　　　　　　　　　　　　　　"</f>
        <v>６４６　　　　　　　　　　　　　　　　　</v>
      </c>
      <c r="L168" s="1"/>
    </row>
    <row r="169" spans="1:12" ht="18" customHeight="1" x14ac:dyDescent="0.15">
      <c r="A169" s="1">
        <v>5544</v>
      </c>
      <c r="B169" s="11" t="s">
        <v>536</v>
      </c>
      <c r="C169" s="11" t="s">
        <v>576</v>
      </c>
      <c r="D169" s="11">
        <v>1</v>
      </c>
      <c r="E169" s="11" t="s">
        <v>9</v>
      </c>
      <c r="F169" s="12">
        <v>30900</v>
      </c>
      <c r="G169" s="12">
        <v>30900</v>
      </c>
      <c r="H169" s="11" t="str">
        <f t="shared" si="10"/>
        <v>平成4年3月31日</v>
      </c>
      <c r="I169" s="22">
        <f t="shared" si="9"/>
        <v>33694</v>
      </c>
      <c r="J169" s="1" t="str">
        <f>"00748323"</f>
        <v>00748323</v>
      </c>
      <c r="K169" s="1" t="str">
        <f>"６４７　　　　　　　　　　　　　　　　　"</f>
        <v>６４７　　　　　　　　　　　　　　　　　</v>
      </c>
      <c r="L169" s="1"/>
    </row>
    <row r="170" spans="1:12" ht="18" customHeight="1" x14ac:dyDescent="0.15">
      <c r="A170" s="1">
        <v>5545</v>
      </c>
      <c r="B170" s="11" t="s">
        <v>536</v>
      </c>
      <c r="C170" s="11" t="s">
        <v>576</v>
      </c>
      <c r="D170" s="11">
        <v>1</v>
      </c>
      <c r="E170" s="11" t="s">
        <v>9</v>
      </c>
      <c r="F170" s="12">
        <v>30900</v>
      </c>
      <c r="G170" s="12">
        <v>30900</v>
      </c>
      <c r="H170" s="11" t="str">
        <f t="shared" si="10"/>
        <v>平成4年3月31日</v>
      </c>
      <c r="I170" s="22">
        <f t="shared" si="9"/>
        <v>33694</v>
      </c>
      <c r="J170" s="1" t="str">
        <f>"00748325"</f>
        <v>00748325</v>
      </c>
      <c r="K170" s="1" t="str">
        <f>"６４８　　　　　　　　　　　　　　　　　"</f>
        <v>６４８　　　　　　　　　　　　　　　　　</v>
      </c>
      <c r="L170" s="1"/>
    </row>
    <row r="171" spans="1:12" ht="18" customHeight="1" x14ac:dyDescent="0.15">
      <c r="A171" s="1">
        <v>5546</v>
      </c>
      <c r="B171" s="11" t="s">
        <v>536</v>
      </c>
      <c r="C171" s="11" t="s">
        <v>576</v>
      </c>
      <c r="D171" s="11">
        <v>1</v>
      </c>
      <c r="E171" s="11" t="s">
        <v>9</v>
      </c>
      <c r="F171" s="12">
        <v>30900</v>
      </c>
      <c r="G171" s="12">
        <v>30900</v>
      </c>
      <c r="H171" s="11" t="str">
        <f t="shared" si="10"/>
        <v>平成4年3月31日</v>
      </c>
      <c r="I171" s="22">
        <f t="shared" si="9"/>
        <v>33694</v>
      </c>
      <c r="J171" s="1" t="str">
        <f>"00748327"</f>
        <v>00748327</v>
      </c>
      <c r="K171" s="1" t="str">
        <f>"６４９　　　　　　　　　　　　　　　　　"</f>
        <v>６４９　　　　　　　　　　　　　　　　　</v>
      </c>
      <c r="L171" s="1"/>
    </row>
    <row r="172" spans="1:12" ht="18" customHeight="1" x14ac:dyDescent="0.15">
      <c r="A172" s="1">
        <v>5547</v>
      </c>
      <c r="B172" s="11" t="s">
        <v>536</v>
      </c>
      <c r="C172" s="11" t="s">
        <v>576</v>
      </c>
      <c r="D172" s="11">
        <v>1</v>
      </c>
      <c r="E172" s="11" t="s">
        <v>9</v>
      </c>
      <c r="F172" s="12">
        <v>30900</v>
      </c>
      <c r="G172" s="12">
        <v>30900</v>
      </c>
      <c r="H172" s="11" t="str">
        <f t="shared" si="10"/>
        <v>平成4年3月31日</v>
      </c>
      <c r="I172" s="22">
        <f t="shared" si="9"/>
        <v>33694</v>
      </c>
      <c r="J172" s="1" t="str">
        <f>"00748329"</f>
        <v>00748329</v>
      </c>
      <c r="K172" s="1" t="str">
        <f>"６５０　　　　　　　　　　　　　　　　　"</f>
        <v>６５０　　　　　　　　　　　　　　　　　</v>
      </c>
      <c r="L172" s="1"/>
    </row>
    <row r="173" spans="1:12" ht="18" customHeight="1" x14ac:dyDescent="0.15">
      <c r="A173" s="1">
        <v>5548</v>
      </c>
      <c r="B173" s="11" t="s">
        <v>536</v>
      </c>
      <c r="C173" s="11" t="s">
        <v>576</v>
      </c>
      <c r="D173" s="11">
        <v>1</v>
      </c>
      <c r="E173" s="11" t="s">
        <v>9</v>
      </c>
      <c r="F173" s="12">
        <v>30900</v>
      </c>
      <c r="G173" s="12">
        <v>30900</v>
      </c>
      <c r="H173" s="11" t="str">
        <f t="shared" si="10"/>
        <v>平成4年3月31日</v>
      </c>
      <c r="I173" s="22">
        <f t="shared" si="9"/>
        <v>33694</v>
      </c>
      <c r="J173" s="1" t="str">
        <f>"00748331"</f>
        <v>00748331</v>
      </c>
      <c r="K173" s="1" t="str">
        <f>"６５１　　　　　　　　　　　　　　　　　"</f>
        <v>６５１　　　　　　　　　　　　　　　　　</v>
      </c>
      <c r="L173" s="1"/>
    </row>
    <row r="174" spans="1:12" ht="18" customHeight="1" x14ac:dyDescent="0.15">
      <c r="A174" s="1">
        <v>5549</v>
      </c>
      <c r="B174" s="11" t="s">
        <v>536</v>
      </c>
      <c r="C174" s="11" t="s">
        <v>576</v>
      </c>
      <c r="D174" s="11">
        <v>1</v>
      </c>
      <c r="E174" s="11" t="s">
        <v>9</v>
      </c>
      <c r="F174" s="12">
        <v>30900</v>
      </c>
      <c r="G174" s="12">
        <v>30900</v>
      </c>
      <c r="H174" s="11" t="str">
        <f t="shared" si="10"/>
        <v>平成4年3月31日</v>
      </c>
      <c r="I174" s="22">
        <f t="shared" si="9"/>
        <v>33694</v>
      </c>
      <c r="J174" s="1" t="str">
        <f>"00748333"</f>
        <v>00748333</v>
      </c>
      <c r="K174" s="1" t="str">
        <f>"６５２　　　　　　　　　　　　　　　　　"</f>
        <v>６５２　　　　　　　　　　　　　　　　　</v>
      </c>
      <c r="L174" s="1"/>
    </row>
    <row r="175" spans="1:12" ht="18" customHeight="1" x14ac:dyDescent="0.15">
      <c r="A175" s="1">
        <v>5550</v>
      </c>
      <c r="B175" s="11" t="s">
        <v>536</v>
      </c>
      <c r="C175" s="11" t="s">
        <v>576</v>
      </c>
      <c r="D175" s="11">
        <v>1</v>
      </c>
      <c r="E175" s="11" t="s">
        <v>9</v>
      </c>
      <c r="F175" s="12">
        <v>30900</v>
      </c>
      <c r="G175" s="12">
        <v>30900</v>
      </c>
      <c r="H175" s="11" t="str">
        <f t="shared" si="10"/>
        <v>平成4年3月31日</v>
      </c>
      <c r="I175" s="22">
        <f t="shared" si="9"/>
        <v>33694</v>
      </c>
      <c r="J175" s="1" t="str">
        <f>"00748335"</f>
        <v>00748335</v>
      </c>
      <c r="K175" s="1" t="str">
        <f>"６５３　　　　　　　　　　　　　　　　　"</f>
        <v>６５３　　　　　　　　　　　　　　　　　</v>
      </c>
      <c r="L175" s="1"/>
    </row>
    <row r="176" spans="1:12" ht="18" customHeight="1" x14ac:dyDescent="0.15">
      <c r="A176" s="1">
        <v>5551</v>
      </c>
      <c r="B176" s="11" t="s">
        <v>536</v>
      </c>
      <c r="C176" s="11" t="s">
        <v>576</v>
      </c>
      <c r="D176" s="11">
        <v>1</v>
      </c>
      <c r="E176" s="11" t="s">
        <v>9</v>
      </c>
      <c r="F176" s="12">
        <v>30900</v>
      </c>
      <c r="G176" s="12">
        <v>30900</v>
      </c>
      <c r="H176" s="11" t="str">
        <f t="shared" si="10"/>
        <v>平成4年3月31日</v>
      </c>
      <c r="I176" s="22">
        <f t="shared" si="9"/>
        <v>33694</v>
      </c>
      <c r="J176" s="1" t="str">
        <f>"00748337"</f>
        <v>00748337</v>
      </c>
      <c r="K176" s="1" t="str">
        <f>"６５４　　　　　　　　　　　　　　　　　"</f>
        <v>６５４　　　　　　　　　　　　　　　　　</v>
      </c>
      <c r="L176" s="1"/>
    </row>
    <row r="177" spans="1:12" ht="18" customHeight="1" x14ac:dyDescent="0.15">
      <c r="A177" s="11">
        <v>5</v>
      </c>
      <c r="B177" s="11" t="s">
        <v>13</v>
      </c>
      <c r="C177" s="11" t="s">
        <v>14</v>
      </c>
      <c r="D177" s="11">
        <v>1</v>
      </c>
      <c r="E177" s="11" t="s">
        <v>4</v>
      </c>
      <c r="F177" s="12">
        <v>1144525</v>
      </c>
      <c r="G177" s="12">
        <v>1144525</v>
      </c>
      <c r="H177" s="11" t="str">
        <f t="shared" si="2"/>
        <v>平成4年12月5日</v>
      </c>
      <c r="I177" s="22">
        <f t="shared" si="9"/>
        <v>33943</v>
      </c>
      <c r="J177" s="1" t="str">
        <f>"00002610"</f>
        <v>00002610</v>
      </c>
      <c r="K177" s="1" t="str">
        <f>"３９１　　　　　　　　　　　　　　　　　"</f>
        <v>３９１　　　　　　　　　　　　　　　　　</v>
      </c>
      <c r="L177" s="1"/>
    </row>
    <row r="178" spans="1:12" s="40" customFormat="1" ht="27" x14ac:dyDescent="0.15">
      <c r="A178" s="11">
        <v>8</v>
      </c>
      <c r="B178" s="11" t="s">
        <v>19</v>
      </c>
      <c r="C178" s="11" t="s">
        <v>20</v>
      </c>
      <c r="D178" s="11">
        <v>1</v>
      </c>
      <c r="E178" s="11" t="s">
        <v>21</v>
      </c>
      <c r="F178" s="12">
        <v>64054000</v>
      </c>
      <c r="G178" s="12">
        <v>17900000</v>
      </c>
      <c r="H178" s="11" t="str">
        <f t="shared" si="2"/>
        <v>平成4年12月5日</v>
      </c>
      <c r="I178" s="39">
        <f t="shared" si="9"/>
        <v>33943</v>
      </c>
      <c r="J178" s="25" t="str">
        <f>"00002614"</f>
        <v>00002614</v>
      </c>
      <c r="K178" s="25" t="str">
        <f>"３０１　　　　　　　　　　　　　　　　　"</f>
        <v>３０１　　　　　　　　　　　　　　　　　</v>
      </c>
      <c r="L178" s="47" t="s">
        <v>676</v>
      </c>
    </row>
    <row r="179" spans="1:12" s="40" customFormat="1" ht="18" customHeight="1" x14ac:dyDescent="0.15">
      <c r="A179" s="25">
        <v>9</v>
      </c>
      <c r="B179" s="25" t="s">
        <v>22</v>
      </c>
      <c r="C179" s="25" t="s">
        <v>23</v>
      </c>
      <c r="D179" s="25">
        <v>1</v>
      </c>
      <c r="E179" s="25" t="s">
        <v>4</v>
      </c>
      <c r="F179" s="38">
        <v>1156000</v>
      </c>
      <c r="G179" s="38" t="s">
        <v>667</v>
      </c>
      <c r="H179" s="25" t="str">
        <f t="shared" si="2"/>
        <v>平成4年12月5日</v>
      </c>
      <c r="I179" s="39">
        <f t="shared" si="9"/>
        <v>33943</v>
      </c>
      <c r="J179" s="25" t="str">
        <f>"00002615"</f>
        <v>00002615</v>
      </c>
      <c r="K179" s="25" t="str">
        <f>"３０１　　　　　　　　　　　　　　　　　"</f>
        <v>３０１　　　　　　　　　　　　　　　　　</v>
      </c>
      <c r="L179" s="25"/>
    </row>
    <row r="180" spans="1:12" ht="18" customHeight="1" x14ac:dyDescent="0.15">
      <c r="A180" s="11">
        <v>10</v>
      </c>
      <c r="B180" s="11" t="s">
        <v>24</v>
      </c>
      <c r="C180" s="11" t="s">
        <v>25</v>
      </c>
      <c r="D180" s="11">
        <v>1</v>
      </c>
      <c r="E180" s="11" t="s">
        <v>4</v>
      </c>
      <c r="F180" s="12">
        <v>5995000</v>
      </c>
      <c r="G180" s="12">
        <v>3500000</v>
      </c>
      <c r="H180" s="11" t="str">
        <f t="shared" si="2"/>
        <v>平成4年12月5日</v>
      </c>
      <c r="I180" s="22">
        <f t="shared" si="9"/>
        <v>33943</v>
      </c>
      <c r="J180" s="1" t="str">
        <f>"00002616"</f>
        <v>00002616</v>
      </c>
      <c r="K180" s="1" t="str">
        <f>"３０２　　　　　　　　　　　　　　　　　"</f>
        <v>３０２　　　　　　　　　　　　　　　　　</v>
      </c>
      <c r="L180" s="1" t="s">
        <v>673</v>
      </c>
    </row>
    <row r="181" spans="1:12" ht="18" customHeight="1" x14ac:dyDescent="0.15">
      <c r="A181" s="11">
        <v>11</v>
      </c>
      <c r="B181" s="11" t="s">
        <v>24</v>
      </c>
      <c r="C181" s="11" t="s">
        <v>25</v>
      </c>
      <c r="D181" s="11">
        <v>1</v>
      </c>
      <c r="E181" s="11" t="s">
        <v>4</v>
      </c>
      <c r="F181" s="12">
        <v>12175000</v>
      </c>
      <c r="G181" s="12">
        <v>4000000</v>
      </c>
      <c r="H181" s="11" t="str">
        <f t="shared" si="2"/>
        <v>平成4年12月5日</v>
      </c>
      <c r="I181" s="22">
        <f t="shared" si="9"/>
        <v>33943</v>
      </c>
      <c r="J181" s="1" t="str">
        <f>"00002617"</f>
        <v>00002617</v>
      </c>
      <c r="K181" s="1" t="str">
        <f>"３０３　　　　　　　　　　　　　　　　　"</f>
        <v>３０３　　　　　　　　　　　　　　　　　</v>
      </c>
      <c r="L181" s="1" t="s">
        <v>673</v>
      </c>
    </row>
    <row r="182" spans="1:12" s="40" customFormat="1" ht="18" customHeight="1" x14ac:dyDescent="0.15">
      <c r="A182" s="25">
        <v>40</v>
      </c>
      <c r="B182" s="25" t="s">
        <v>71</v>
      </c>
      <c r="C182" s="25" t="s">
        <v>72</v>
      </c>
      <c r="D182" s="25">
        <v>1</v>
      </c>
      <c r="E182" s="25" t="s">
        <v>4</v>
      </c>
      <c r="F182" s="38">
        <v>67500</v>
      </c>
      <c r="G182" s="38" t="s">
        <v>670</v>
      </c>
      <c r="H182" s="25" t="str">
        <f t="shared" si="2"/>
        <v>平成4年12月5日</v>
      </c>
      <c r="I182" s="39">
        <f t="shared" si="9"/>
        <v>33943</v>
      </c>
      <c r="J182" s="25" t="str">
        <f>"00735832"</f>
        <v>00735832</v>
      </c>
      <c r="K182" s="25" t="str">
        <f>"３０１　　　　　　　　　　　　　　　　　"</f>
        <v>３０１　　　　　　　　　　　　　　　　　</v>
      </c>
      <c r="L182" s="25"/>
    </row>
    <row r="183" spans="1:12" s="40" customFormat="1" ht="18" customHeight="1" x14ac:dyDescent="0.15">
      <c r="A183" s="25">
        <v>41</v>
      </c>
      <c r="B183" s="25" t="s">
        <v>71</v>
      </c>
      <c r="C183" s="25" t="s">
        <v>72</v>
      </c>
      <c r="D183" s="25">
        <v>1</v>
      </c>
      <c r="E183" s="25" t="s">
        <v>4</v>
      </c>
      <c r="F183" s="38">
        <v>67500</v>
      </c>
      <c r="G183" s="38" t="s">
        <v>670</v>
      </c>
      <c r="H183" s="25" t="str">
        <f t="shared" si="2"/>
        <v>平成4年12月5日</v>
      </c>
      <c r="I183" s="39">
        <f t="shared" si="9"/>
        <v>33943</v>
      </c>
      <c r="J183" s="25" t="str">
        <f>"00735840"</f>
        <v>00735840</v>
      </c>
      <c r="K183" s="25" t="str">
        <f>"３０２　　　　　　　　　　　　　　　　　"</f>
        <v>３０２　　　　　　　　　　　　　　　　　</v>
      </c>
      <c r="L183" s="25"/>
    </row>
    <row r="184" spans="1:12" ht="18" customHeight="1" x14ac:dyDescent="0.15">
      <c r="A184" s="11">
        <v>42</v>
      </c>
      <c r="B184" s="11" t="s">
        <v>74</v>
      </c>
      <c r="C184" s="11" t="s">
        <v>75</v>
      </c>
      <c r="D184" s="11">
        <v>1</v>
      </c>
      <c r="E184" s="11" t="s">
        <v>4</v>
      </c>
      <c r="F184" s="12">
        <v>21900</v>
      </c>
      <c r="G184" s="12">
        <v>21900</v>
      </c>
      <c r="H184" s="11" t="str">
        <f t="shared" si="2"/>
        <v>平成4年12月5日</v>
      </c>
      <c r="I184" s="22">
        <f t="shared" si="9"/>
        <v>33943</v>
      </c>
      <c r="J184" s="1" t="str">
        <f>"00735864"</f>
        <v>00735864</v>
      </c>
      <c r="K184" s="1" t="str">
        <f>"３０３　　　　　　　　　　　　　　　　　"</f>
        <v>３０３　　　　　　　　　　　　　　　　　</v>
      </c>
      <c r="L184" s="1"/>
    </row>
    <row r="185" spans="1:12" ht="18" customHeight="1" x14ac:dyDescent="0.15">
      <c r="A185" s="11">
        <v>43</v>
      </c>
      <c r="B185" s="11" t="s">
        <v>74</v>
      </c>
      <c r="C185" s="11" t="s">
        <v>75</v>
      </c>
      <c r="D185" s="11">
        <v>1</v>
      </c>
      <c r="E185" s="11" t="s">
        <v>4</v>
      </c>
      <c r="F185" s="12">
        <v>21900</v>
      </c>
      <c r="G185" s="12">
        <v>21900</v>
      </c>
      <c r="H185" s="11" t="str">
        <f t="shared" si="2"/>
        <v>平成4年12月5日</v>
      </c>
      <c r="I185" s="22">
        <f t="shared" si="9"/>
        <v>33943</v>
      </c>
      <c r="J185" s="1" t="str">
        <f>"00735872"</f>
        <v>00735872</v>
      </c>
      <c r="K185" s="1" t="str">
        <f>"３０４　　　　　　　　　　　　　　　　　"</f>
        <v>３０４　　　　　　　　　　　　　　　　　</v>
      </c>
      <c r="L185" s="1"/>
    </row>
    <row r="186" spans="1:12" ht="18" customHeight="1" x14ac:dyDescent="0.15">
      <c r="A186" s="11">
        <v>49</v>
      </c>
      <c r="B186" s="11" t="s">
        <v>83</v>
      </c>
      <c r="C186" s="11" t="s">
        <v>84</v>
      </c>
      <c r="D186" s="11">
        <v>1</v>
      </c>
      <c r="E186" s="11" t="s">
        <v>4</v>
      </c>
      <c r="F186" s="12">
        <v>76014</v>
      </c>
      <c r="G186" s="12">
        <v>76014</v>
      </c>
      <c r="H186" s="11" t="str">
        <f t="shared" si="2"/>
        <v>平成4年12月5日</v>
      </c>
      <c r="I186" s="22">
        <f t="shared" si="9"/>
        <v>33943</v>
      </c>
      <c r="J186" s="1" t="str">
        <f>"00735951"</f>
        <v>00735951</v>
      </c>
      <c r="K186" s="1" t="str">
        <f>"３０２　　　　　　　　　　　　　　　　　"</f>
        <v>３０２　　　　　　　　　　　　　　　　　</v>
      </c>
      <c r="L186" s="1"/>
    </row>
    <row r="187" spans="1:12" ht="18" customHeight="1" x14ac:dyDescent="0.15">
      <c r="A187" s="1">
        <v>52</v>
      </c>
      <c r="B187" s="43" t="s">
        <v>88</v>
      </c>
      <c r="C187" s="43" t="s">
        <v>89</v>
      </c>
      <c r="D187" s="43">
        <v>1</v>
      </c>
      <c r="E187" s="43" t="s">
        <v>21</v>
      </c>
      <c r="F187" s="44">
        <v>999100</v>
      </c>
      <c r="G187" s="44" t="s">
        <v>667</v>
      </c>
      <c r="H187" s="43" t="str">
        <f t="shared" si="2"/>
        <v>平成4年12月5日</v>
      </c>
      <c r="I187" s="22">
        <f t="shared" si="9"/>
        <v>33943</v>
      </c>
      <c r="J187" s="43" t="str">
        <f>"00735972"</f>
        <v>00735972</v>
      </c>
      <c r="K187" s="43" t="str">
        <f>"３０１　　　　　　　　　　　　　　　　　"</f>
        <v>３０１　　　　　　　　　　　　　　　　　</v>
      </c>
      <c r="L187" s="43" t="s">
        <v>645</v>
      </c>
    </row>
    <row r="188" spans="1:12" ht="18" customHeight="1" x14ac:dyDescent="0.15">
      <c r="A188" s="11">
        <v>142</v>
      </c>
      <c r="B188" s="11" t="s">
        <v>63</v>
      </c>
      <c r="C188" s="11" t="s">
        <v>118</v>
      </c>
      <c r="D188" s="11">
        <v>1</v>
      </c>
      <c r="E188" s="11" t="s">
        <v>4</v>
      </c>
      <c r="F188" s="12">
        <v>62300</v>
      </c>
      <c r="G188" s="12">
        <v>62300</v>
      </c>
      <c r="H188" s="11" t="str">
        <f t="shared" si="2"/>
        <v>平成4年12月5日</v>
      </c>
      <c r="I188" s="22">
        <f t="shared" si="9"/>
        <v>33943</v>
      </c>
      <c r="J188" s="1" t="str">
        <f>"00736426"</f>
        <v>00736426</v>
      </c>
      <c r="K188" s="1" t="str">
        <f>"３０６　　　　　　　　　　　　　　　　　"</f>
        <v>３０６　　　　　　　　　　　　　　　　　</v>
      </c>
      <c r="L188" s="1"/>
    </row>
    <row r="189" spans="1:12" ht="18" customHeight="1" x14ac:dyDescent="0.15">
      <c r="A189" s="11">
        <v>143</v>
      </c>
      <c r="B189" s="11" t="s">
        <v>63</v>
      </c>
      <c r="C189" s="11" t="s">
        <v>118</v>
      </c>
      <c r="D189" s="11">
        <v>1</v>
      </c>
      <c r="E189" s="11" t="s">
        <v>4</v>
      </c>
      <c r="F189" s="12">
        <v>62300</v>
      </c>
      <c r="G189" s="12">
        <v>62300</v>
      </c>
      <c r="H189" s="11" t="str">
        <f t="shared" si="2"/>
        <v>平成4年12月5日</v>
      </c>
      <c r="I189" s="22">
        <f t="shared" si="9"/>
        <v>33943</v>
      </c>
      <c r="J189" s="1" t="str">
        <f>"00736429"</f>
        <v>00736429</v>
      </c>
      <c r="K189" s="1" t="str">
        <f>"３０８　　　　　　　　　　　　　　　　　"</f>
        <v>３０８　　　　　　　　　　　　　　　　　</v>
      </c>
      <c r="L189" s="1"/>
    </row>
    <row r="190" spans="1:12" ht="18" customHeight="1" x14ac:dyDescent="0.15">
      <c r="A190" s="11">
        <v>144</v>
      </c>
      <c r="B190" s="11" t="s">
        <v>63</v>
      </c>
      <c r="C190" s="11" t="s">
        <v>118</v>
      </c>
      <c r="D190" s="11">
        <v>1</v>
      </c>
      <c r="E190" s="11" t="s">
        <v>4</v>
      </c>
      <c r="F190" s="12">
        <v>62300</v>
      </c>
      <c r="G190" s="12">
        <v>62300</v>
      </c>
      <c r="H190" s="11" t="str">
        <f t="shared" si="2"/>
        <v>平成4年12月5日</v>
      </c>
      <c r="I190" s="22">
        <f t="shared" si="9"/>
        <v>33943</v>
      </c>
      <c r="J190" s="1" t="str">
        <f>"00736432"</f>
        <v>00736432</v>
      </c>
      <c r="K190" s="1" t="str">
        <f>"３０９　　　　　　　　　　　　　　　　　"</f>
        <v>３０９　　　　　　　　　　　　　　　　　</v>
      </c>
      <c r="L190" s="1"/>
    </row>
    <row r="191" spans="1:12" ht="18" customHeight="1" x14ac:dyDescent="0.15">
      <c r="A191" s="11">
        <v>145</v>
      </c>
      <c r="B191" s="11" t="s">
        <v>63</v>
      </c>
      <c r="C191" s="11" t="s">
        <v>118</v>
      </c>
      <c r="D191" s="11">
        <v>1</v>
      </c>
      <c r="E191" s="11" t="s">
        <v>4</v>
      </c>
      <c r="F191" s="12">
        <v>62300</v>
      </c>
      <c r="G191" s="12">
        <v>62300</v>
      </c>
      <c r="H191" s="11" t="str">
        <f t="shared" si="2"/>
        <v>平成4年12月5日</v>
      </c>
      <c r="I191" s="22">
        <f t="shared" si="9"/>
        <v>33943</v>
      </c>
      <c r="J191" s="1" t="str">
        <f>"00736435"</f>
        <v>00736435</v>
      </c>
      <c r="K191" s="1" t="str">
        <f>"３１２　　　　　　　　　　　　　　　　　"</f>
        <v>３１２　　　　　　　　　　　　　　　　　</v>
      </c>
      <c r="L191" s="1"/>
    </row>
    <row r="192" spans="1:12" ht="18" customHeight="1" x14ac:dyDescent="0.15">
      <c r="A192" s="11">
        <v>146</v>
      </c>
      <c r="B192" s="11" t="s">
        <v>63</v>
      </c>
      <c r="C192" s="11" t="s">
        <v>120</v>
      </c>
      <c r="D192" s="11">
        <v>1</v>
      </c>
      <c r="E192" s="11" t="s">
        <v>4</v>
      </c>
      <c r="F192" s="12">
        <v>327100</v>
      </c>
      <c r="G192" s="12">
        <v>327100</v>
      </c>
      <c r="H192" s="11" t="str">
        <f t="shared" si="2"/>
        <v>平成4年12月5日</v>
      </c>
      <c r="I192" s="22">
        <f t="shared" si="9"/>
        <v>33943</v>
      </c>
      <c r="J192" s="1" t="str">
        <f>"00736438"</f>
        <v>00736438</v>
      </c>
      <c r="K192" s="1" t="str">
        <f>"３２１　　　　　　　　　　　　　　　　　"</f>
        <v>３２１　　　　　　　　　　　　　　　　　</v>
      </c>
      <c r="L192" s="1"/>
    </row>
    <row r="193" spans="1:12" ht="18" customHeight="1" x14ac:dyDescent="0.15">
      <c r="A193" s="11">
        <v>147</v>
      </c>
      <c r="B193" s="11" t="s">
        <v>63</v>
      </c>
      <c r="C193" s="11" t="s">
        <v>120</v>
      </c>
      <c r="D193" s="11">
        <v>1</v>
      </c>
      <c r="E193" s="11" t="s">
        <v>4</v>
      </c>
      <c r="F193" s="12">
        <v>327100</v>
      </c>
      <c r="G193" s="12">
        <v>327100</v>
      </c>
      <c r="H193" s="11" t="str">
        <f t="shared" si="2"/>
        <v>平成4年12月5日</v>
      </c>
      <c r="I193" s="22">
        <f t="shared" si="9"/>
        <v>33943</v>
      </c>
      <c r="J193" s="1" t="str">
        <f>"00736441"</f>
        <v>00736441</v>
      </c>
      <c r="K193" s="1" t="str">
        <f>"３２２　　　　　　　　　　　　　　　　　"</f>
        <v>３２２　　　　　　　　　　　　　　　　　</v>
      </c>
      <c r="L193" s="1"/>
    </row>
    <row r="194" spans="1:12" ht="18" customHeight="1" x14ac:dyDescent="0.15">
      <c r="A194" s="11">
        <v>148</v>
      </c>
      <c r="B194" s="11" t="s">
        <v>63</v>
      </c>
      <c r="C194" s="11" t="s">
        <v>120</v>
      </c>
      <c r="D194" s="11">
        <v>1</v>
      </c>
      <c r="E194" s="11" t="s">
        <v>4</v>
      </c>
      <c r="F194" s="12">
        <v>327100</v>
      </c>
      <c r="G194" s="12">
        <v>327100</v>
      </c>
      <c r="H194" s="11" t="str">
        <f t="shared" si="2"/>
        <v>平成4年12月5日</v>
      </c>
      <c r="I194" s="22">
        <f t="shared" si="9"/>
        <v>33943</v>
      </c>
      <c r="J194" s="1" t="str">
        <f>"00736444"</f>
        <v>00736444</v>
      </c>
      <c r="K194" s="1" t="str">
        <f>"３２３　　　　　　　　　　　　　　　　　"</f>
        <v>３２３　　　　　　　　　　　　　　　　　</v>
      </c>
      <c r="L194" s="1"/>
    </row>
    <row r="195" spans="1:12" ht="18" customHeight="1" x14ac:dyDescent="0.15">
      <c r="A195" s="11">
        <v>149</v>
      </c>
      <c r="B195" s="11" t="s">
        <v>63</v>
      </c>
      <c r="C195" s="11" t="s">
        <v>120</v>
      </c>
      <c r="D195" s="11">
        <v>1</v>
      </c>
      <c r="E195" s="11" t="s">
        <v>4</v>
      </c>
      <c r="F195" s="12">
        <v>327100</v>
      </c>
      <c r="G195" s="12">
        <v>327100</v>
      </c>
      <c r="H195" s="11" t="str">
        <f t="shared" si="2"/>
        <v>平成4年12月5日</v>
      </c>
      <c r="I195" s="22">
        <f t="shared" si="9"/>
        <v>33943</v>
      </c>
      <c r="J195" s="1" t="str">
        <f>"00736447"</f>
        <v>00736447</v>
      </c>
      <c r="K195" s="1" t="str">
        <f>"３２４　　　　　　　　　　　　　　　　　"</f>
        <v>３２４　　　　　　　　　　　　　　　　　</v>
      </c>
      <c r="L195" s="1"/>
    </row>
    <row r="196" spans="1:12" ht="18" customHeight="1" x14ac:dyDescent="0.15">
      <c r="A196" s="11">
        <v>150</v>
      </c>
      <c r="B196" s="11" t="s">
        <v>63</v>
      </c>
      <c r="C196" s="11" t="s">
        <v>121</v>
      </c>
      <c r="D196" s="11">
        <v>1</v>
      </c>
      <c r="E196" s="11" t="s">
        <v>4</v>
      </c>
      <c r="F196" s="12">
        <v>52500</v>
      </c>
      <c r="G196" s="12">
        <v>52500</v>
      </c>
      <c r="H196" s="11" t="str">
        <f t="shared" si="2"/>
        <v>平成4年12月5日</v>
      </c>
      <c r="I196" s="22">
        <f t="shared" si="9"/>
        <v>33943</v>
      </c>
      <c r="J196" s="1" t="str">
        <f>"00736450"</f>
        <v>00736450</v>
      </c>
      <c r="K196" s="1" t="str">
        <f>"３２５　　　　　　　　　　　　　　　　　"</f>
        <v>３２５　　　　　　　　　　　　　　　　　</v>
      </c>
      <c r="L196" s="1"/>
    </row>
    <row r="197" spans="1:12" ht="18" customHeight="1" x14ac:dyDescent="0.15">
      <c r="A197" s="11">
        <v>151</v>
      </c>
      <c r="B197" s="11" t="s">
        <v>63</v>
      </c>
      <c r="C197" s="11" t="s">
        <v>121</v>
      </c>
      <c r="D197" s="11">
        <v>1</v>
      </c>
      <c r="E197" s="11" t="s">
        <v>4</v>
      </c>
      <c r="F197" s="12">
        <v>52500</v>
      </c>
      <c r="G197" s="12">
        <v>52500</v>
      </c>
      <c r="H197" s="11" t="str">
        <f t="shared" si="2"/>
        <v>平成4年12月5日</v>
      </c>
      <c r="I197" s="22">
        <f t="shared" si="9"/>
        <v>33943</v>
      </c>
      <c r="J197" s="1" t="str">
        <f>"00736453"</f>
        <v>00736453</v>
      </c>
      <c r="K197" s="1" t="str">
        <f>"３２６　　　　　　　　　　　　　　　　　"</f>
        <v>３２６　　　　　　　　　　　　　　　　　</v>
      </c>
      <c r="L197" s="1"/>
    </row>
    <row r="198" spans="1:12" ht="18" customHeight="1" x14ac:dyDescent="0.15">
      <c r="A198" s="11">
        <v>152</v>
      </c>
      <c r="B198" s="11" t="s">
        <v>63</v>
      </c>
      <c r="C198" s="11" t="s">
        <v>121</v>
      </c>
      <c r="D198" s="11">
        <v>1</v>
      </c>
      <c r="E198" s="11" t="s">
        <v>4</v>
      </c>
      <c r="F198" s="12">
        <v>52500</v>
      </c>
      <c r="G198" s="12">
        <v>52500</v>
      </c>
      <c r="H198" s="11" t="str">
        <f t="shared" si="2"/>
        <v>平成4年12月5日</v>
      </c>
      <c r="I198" s="22">
        <f t="shared" si="9"/>
        <v>33943</v>
      </c>
      <c r="J198" s="1" t="str">
        <f>"00736456"</f>
        <v>00736456</v>
      </c>
      <c r="K198" s="1" t="str">
        <f>"３２７　　　　　　　　　　　　　　　　　"</f>
        <v>３２７　　　　　　　　　　　　　　　　　</v>
      </c>
      <c r="L198" s="1"/>
    </row>
    <row r="199" spans="1:12" ht="18" customHeight="1" x14ac:dyDescent="0.15">
      <c r="A199" s="11">
        <v>153</v>
      </c>
      <c r="B199" s="11" t="s">
        <v>63</v>
      </c>
      <c r="C199" s="11" t="s">
        <v>121</v>
      </c>
      <c r="D199" s="11">
        <v>1</v>
      </c>
      <c r="E199" s="11" t="s">
        <v>4</v>
      </c>
      <c r="F199" s="12">
        <v>52500</v>
      </c>
      <c r="G199" s="12">
        <v>52500</v>
      </c>
      <c r="H199" s="11" t="str">
        <f t="shared" si="2"/>
        <v>平成4年12月5日</v>
      </c>
      <c r="I199" s="22">
        <f t="shared" si="9"/>
        <v>33943</v>
      </c>
      <c r="J199" s="1" t="str">
        <f>"00736459"</f>
        <v>00736459</v>
      </c>
      <c r="K199" s="1" t="str">
        <f>"３２８　　　　　　　　　　　　　　　　　"</f>
        <v>３２８　　　　　　　　　　　　　　　　　</v>
      </c>
      <c r="L199" s="1"/>
    </row>
    <row r="200" spans="1:12" ht="18" customHeight="1" x14ac:dyDescent="0.15">
      <c r="A200" s="11">
        <v>154</v>
      </c>
      <c r="B200" s="11" t="s">
        <v>63</v>
      </c>
      <c r="C200" s="11" t="s">
        <v>121</v>
      </c>
      <c r="D200" s="11">
        <v>1</v>
      </c>
      <c r="E200" s="11" t="s">
        <v>4</v>
      </c>
      <c r="F200" s="12">
        <v>52500</v>
      </c>
      <c r="G200" s="12">
        <v>52500</v>
      </c>
      <c r="H200" s="11" t="str">
        <f t="shared" si="2"/>
        <v>平成4年12月5日</v>
      </c>
      <c r="I200" s="22">
        <f t="shared" si="9"/>
        <v>33943</v>
      </c>
      <c r="J200" s="1" t="str">
        <f>"00736462"</f>
        <v>00736462</v>
      </c>
      <c r="K200" s="1" t="str">
        <f>"３２９　　　　　　　　　　　　　　　　　"</f>
        <v>３２９　　　　　　　　　　　　　　　　　</v>
      </c>
      <c r="L200" s="1"/>
    </row>
    <row r="201" spans="1:12" ht="18" customHeight="1" x14ac:dyDescent="0.15">
      <c r="A201" s="11">
        <v>155</v>
      </c>
      <c r="B201" s="11" t="s">
        <v>63</v>
      </c>
      <c r="C201" s="11" t="s">
        <v>122</v>
      </c>
      <c r="D201" s="11">
        <v>1</v>
      </c>
      <c r="E201" s="11" t="s">
        <v>4</v>
      </c>
      <c r="F201" s="12">
        <v>23587</v>
      </c>
      <c r="G201" s="12">
        <v>23587</v>
      </c>
      <c r="H201" s="11" t="str">
        <f t="shared" si="2"/>
        <v>平成4年12月5日</v>
      </c>
      <c r="I201" s="22">
        <f t="shared" si="9"/>
        <v>33943</v>
      </c>
      <c r="J201" s="1" t="str">
        <f>"00736465"</f>
        <v>00736465</v>
      </c>
      <c r="K201" s="1" t="str">
        <f>"３３０　　　　　　　　　　　　　　　　　"</f>
        <v>３３０　　　　　　　　　　　　　　　　　</v>
      </c>
      <c r="L201" s="1"/>
    </row>
    <row r="202" spans="1:12" ht="18" customHeight="1" x14ac:dyDescent="0.15">
      <c r="A202" s="11">
        <v>156</v>
      </c>
      <c r="B202" s="11" t="s">
        <v>63</v>
      </c>
      <c r="C202" s="11" t="s">
        <v>122</v>
      </c>
      <c r="D202" s="11">
        <v>1</v>
      </c>
      <c r="E202" s="11" t="s">
        <v>4</v>
      </c>
      <c r="F202" s="12">
        <v>23587</v>
      </c>
      <c r="G202" s="12">
        <v>23587</v>
      </c>
      <c r="H202" s="11" t="str">
        <f t="shared" si="2"/>
        <v>平成4年12月5日</v>
      </c>
      <c r="I202" s="22">
        <f t="shared" si="9"/>
        <v>33943</v>
      </c>
      <c r="J202" s="1" t="str">
        <f>"00736468"</f>
        <v>00736468</v>
      </c>
      <c r="K202" s="1" t="str">
        <f>"３３１　　　　　　　　　　　　　　　　　"</f>
        <v>３３１　　　　　　　　　　　　　　　　　</v>
      </c>
      <c r="L202" s="1"/>
    </row>
    <row r="203" spans="1:12" ht="18" customHeight="1" x14ac:dyDescent="0.15">
      <c r="A203" s="11">
        <v>157</v>
      </c>
      <c r="B203" s="11" t="s">
        <v>63</v>
      </c>
      <c r="C203" s="11" t="s">
        <v>122</v>
      </c>
      <c r="D203" s="11">
        <v>1</v>
      </c>
      <c r="E203" s="11" t="s">
        <v>4</v>
      </c>
      <c r="F203" s="12">
        <v>23587</v>
      </c>
      <c r="G203" s="12">
        <v>23587</v>
      </c>
      <c r="H203" s="11" t="str">
        <f t="shared" si="2"/>
        <v>平成4年12月5日</v>
      </c>
      <c r="I203" s="22">
        <f t="shared" si="9"/>
        <v>33943</v>
      </c>
      <c r="J203" s="1" t="str">
        <f>"00736471"</f>
        <v>00736471</v>
      </c>
      <c r="K203" s="1" t="str">
        <f>"３３２　　　　　　　　　　　　　　　　　"</f>
        <v>３３２　　　　　　　　　　　　　　　　　</v>
      </c>
      <c r="L203" s="1"/>
    </row>
    <row r="204" spans="1:12" ht="18" customHeight="1" x14ac:dyDescent="0.15">
      <c r="A204" s="11">
        <v>158</v>
      </c>
      <c r="B204" s="11" t="s">
        <v>63</v>
      </c>
      <c r="C204" s="11" t="s">
        <v>122</v>
      </c>
      <c r="D204" s="11">
        <v>1</v>
      </c>
      <c r="E204" s="11" t="s">
        <v>4</v>
      </c>
      <c r="F204" s="12">
        <v>23587</v>
      </c>
      <c r="G204" s="12">
        <v>23587</v>
      </c>
      <c r="H204" s="11" t="str">
        <f t="shared" si="2"/>
        <v>平成4年12月5日</v>
      </c>
      <c r="I204" s="22">
        <f t="shared" si="9"/>
        <v>33943</v>
      </c>
      <c r="J204" s="1" t="str">
        <f>"00736474"</f>
        <v>00736474</v>
      </c>
      <c r="K204" s="1" t="str">
        <f>"３３３　　　　　　　　　　　　　　　　　"</f>
        <v>３３３　　　　　　　　　　　　　　　　　</v>
      </c>
      <c r="L204" s="1"/>
    </row>
    <row r="205" spans="1:12" ht="18" customHeight="1" x14ac:dyDescent="0.15">
      <c r="A205" s="11">
        <v>159</v>
      </c>
      <c r="B205" s="11" t="s">
        <v>63</v>
      </c>
      <c r="C205" s="11" t="s">
        <v>122</v>
      </c>
      <c r="D205" s="11">
        <v>1</v>
      </c>
      <c r="E205" s="11" t="s">
        <v>4</v>
      </c>
      <c r="F205" s="12">
        <v>23587</v>
      </c>
      <c r="G205" s="12">
        <v>23587</v>
      </c>
      <c r="H205" s="11" t="str">
        <f t="shared" si="2"/>
        <v>平成4年12月5日</v>
      </c>
      <c r="I205" s="22">
        <f t="shared" si="9"/>
        <v>33943</v>
      </c>
      <c r="J205" s="1" t="str">
        <f>"00736477"</f>
        <v>00736477</v>
      </c>
      <c r="K205" s="1" t="str">
        <f>"３３４　　　　　　　　　　　　　　　　　"</f>
        <v>３３４　　　　　　　　　　　　　　　　　</v>
      </c>
      <c r="L205" s="1"/>
    </row>
    <row r="206" spans="1:12" ht="18" customHeight="1" x14ac:dyDescent="0.15">
      <c r="A206" s="11">
        <v>160</v>
      </c>
      <c r="B206" s="11" t="s">
        <v>63</v>
      </c>
      <c r="C206" s="11" t="s">
        <v>122</v>
      </c>
      <c r="D206" s="11">
        <v>1</v>
      </c>
      <c r="E206" s="11" t="s">
        <v>4</v>
      </c>
      <c r="F206" s="12">
        <v>23587</v>
      </c>
      <c r="G206" s="12">
        <v>23587</v>
      </c>
      <c r="H206" s="11" t="str">
        <f t="shared" si="2"/>
        <v>平成4年12月5日</v>
      </c>
      <c r="I206" s="22">
        <f t="shared" si="9"/>
        <v>33943</v>
      </c>
      <c r="J206" s="1" t="str">
        <f>"00736480"</f>
        <v>00736480</v>
      </c>
      <c r="K206" s="1" t="str">
        <f>"３３５　　　　　　　　　　　　　　　　　"</f>
        <v>３３５　　　　　　　　　　　　　　　　　</v>
      </c>
      <c r="L206" s="1"/>
    </row>
    <row r="207" spans="1:12" ht="18" customHeight="1" x14ac:dyDescent="0.15">
      <c r="A207" s="11">
        <v>161</v>
      </c>
      <c r="B207" s="11" t="s">
        <v>63</v>
      </c>
      <c r="C207" s="11" t="s">
        <v>122</v>
      </c>
      <c r="D207" s="11">
        <v>1</v>
      </c>
      <c r="E207" s="11" t="s">
        <v>4</v>
      </c>
      <c r="F207" s="12">
        <v>23587</v>
      </c>
      <c r="G207" s="12">
        <v>23587</v>
      </c>
      <c r="H207" s="11" t="str">
        <f t="shared" si="2"/>
        <v>平成4年12月5日</v>
      </c>
      <c r="I207" s="22">
        <f t="shared" si="9"/>
        <v>33943</v>
      </c>
      <c r="J207" s="1" t="str">
        <f>"00736483"</f>
        <v>00736483</v>
      </c>
      <c r="K207" s="1" t="str">
        <f>"３３６　　　　　　　　　　　　　　　　　"</f>
        <v>３３６　　　　　　　　　　　　　　　　　</v>
      </c>
      <c r="L207" s="1"/>
    </row>
    <row r="208" spans="1:12" ht="18" customHeight="1" x14ac:dyDescent="0.15">
      <c r="A208" s="11">
        <v>162</v>
      </c>
      <c r="B208" s="11" t="s">
        <v>63</v>
      </c>
      <c r="C208" s="11" t="s">
        <v>122</v>
      </c>
      <c r="D208" s="11">
        <v>1</v>
      </c>
      <c r="E208" s="11" t="s">
        <v>4</v>
      </c>
      <c r="F208" s="12">
        <v>23587</v>
      </c>
      <c r="G208" s="12">
        <v>23587</v>
      </c>
      <c r="H208" s="11" t="str">
        <f t="shared" si="2"/>
        <v>平成4年12月5日</v>
      </c>
      <c r="I208" s="22">
        <f t="shared" si="9"/>
        <v>33943</v>
      </c>
      <c r="J208" s="1" t="str">
        <f>"00736486"</f>
        <v>00736486</v>
      </c>
      <c r="K208" s="1" t="str">
        <f>"３３７　　　　　　　　　　　　　　　　　"</f>
        <v>３３７　　　　　　　　　　　　　　　　　</v>
      </c>
      <c r="L208" s="1"/>
    </row>
    <row r="209" spans="1:12" ht="18" customHeight="1" x14ac:dyDescent="0.15">
      <c r="A209" s="11">
        <v>163</v>
      </c>
      <c r="B209" s="11" t="s">
        <v>63</v>
      </c>
      <c r="C209" s="11" t="s">
        <v>122</v>
      </c>
      <c r="D209" s="11">
        <v>1</v>
      </c>
      <c r="E209" s="11" t="s">
        <v>4</v>
      </c>
      <c r="F209" s="12">
        <v>23587</v>
      </c>
      <c r="G209" s="12">
        <v>23587</v>
      </c>
      <c r="H209" s="11" t="str">
        <f t="shared" si="2"/>
        <v>平成4年12月5日</v>
      </c>
      <c r="I209" s="22">
        <f t="shared" si="9"/>
        <v>33943</v>
      </c>
      <c r="J209" s="1" t="str">
        <f>"00736489"</f>
        <v>00736489</v>
      </c>
      <c r="K209" s="1" t="str">
        <f>"３３８　　　　　　　　　　　　　　　　　"</f>
        <v>３３８　　　　　　　　　　　　　　　　　</v>
      </c>
      <c r="L209" s="1"/>
    </row>
    <row r="210" spans="1:12" ht="18" customHeight="1" x14ac:dyDescent="0.15">
      <c r="A210" s="11">
        <v>164</v>
      </c>
      <c r="B210" s="11" t="s">
        <v>63</v>
      </c>
      <c r="C210" s="11" t="s">
        <v>122</v>
      </c>
      <c r="D210" s="11">
        <v>1</v>
      </c>
      <c r="E210" s="11" t="s">
        <v>4</v>
      </c>
      <c r="F210" s="12">
        <v>23587</v>
      </c>
      <c r="G210" s="12">
        <v>23587</v>
      </c>
      <c r="H210" s="11" t="str">
        <f t="shared" si="2"/>
        <v>平成4年12月5日</v>
      </c>
      <c r="I210" s="22">
        <f t="shared" ref="I210:I273" si="11">DATEVALUE(H210)</f>
        <v>33943</v>
      </c>
      <c r="J210" s="1" t="str">
        <f>"00736492"</f>
        <v>00736492</v>
      </c>
      <c r="K210" s="1" t="str">
        <f>"３３９　　　　　　　　　　　　　　　　　"</f>
        <v>３３９　　　　　　　　　　　　　　　　　</v>
      </c>
      <c r="L210" s="1"/>
    </row>
    <row r="211" spans="1:12" ht="18" customHeight="1" x14ac:dyDescent="0.15">
      <c r="A211" s="11">
        <v>165</v>
      </c>
      <c r="B211" s="11" t="s">
        <v>63</v>
      </c>
      <c r="C211" s="11" t="s">
        <v>122</v>
      </c>
      <c r="D211" s="11">
        <v>1</v>
      </c>
      <c r="E211" s="11" t="s">
        <v>4</v>
      </c>
      <c r="F211" s="12">
        <v>23587</v>
      </c>
      <c r="G211" s="12">
        <v>23587</v>
      </c>
      <c r="H211" s="11" t="str">
        <f t="shared" si="2"/>
        <v>平成4年12月5日</v>
      </c>
      <c r="I211" s="22">
        <f t="shared" si="11"/>
        <v>33943</v>
      </c>
      <c r="J211" s="1" t="str">
        <f>"00736495"</f>
        <v>00736495</v>
      </c>
      <c r="K211" s="1" t="str">
        <f>"３４０　　　　　　　　　　　　　　　　　"</f>
        <v>３４０　　　　　　　　　　　　　　　　　</v>
      </c>
      <c r="L211" s="1"/>
    </row>
    <row r="212" spans="1:12" ht="18" customHeight="1" x14ac:dyDescent="0.15">
      <c r="A212" s="11">
        <v>166</v>
      </c>
      <c r="B212" s="11" t="s">
        <v>63</v>
      </c>
      <c r="C212" s="11" t="s">
        <v>122</v>
      </c>
      <c r="D212" s="11">
        <v>1</v>
      </c>
      <c r="E212" s="11" t="s">
        <v>4</v>
      </c>
      <c r="F212" s="12">
        <v>23587</v>
      </c>
      <c r="G212" s="12">
        <v>23587</v>
      </c>
      <c r="H212" s="11" t="str">
        <f t="shared" si="2"/>
        <v>平成4年12月5日</v>
      </c>
      <c r="I212" s="22">
        <f t="shared" si="11"/>
        <v>33943</v>
      </c>
      <c r="J212" s="1" t="str">
        <f>"00736498"</f>
        <v>00736498</v>
      </c>
      <c r="K212" s="1" t="str">
        <f>"３４１　　　　　　　　　　　　　　　　　"</f>
        <v>３４１　　　　　　　　　　　　　　　　　</v>
      </c>
      <c r="L212" s="1"/>
    </row>
    <row r="213" spans="1:12" ht="18" customHeight="1" x14ac:dyDescent="0.15">
      <c r="A213" s="11">
        <v>167</v>
      </c>
      <c r="B213" s="11" t="s">
        <v>63</v>
      </c>
      <c r="C213" s="11" t="s">
        <v>123</v>
      </c>
      <c r="D213" s="11">
        <v>1</v>
      </c>
      <c r="E213" s="11" t="s">
        <v>4</v>
      </c>
      <c r="F213" s="12">
        <v>26986</v>
      </c>
      <c r="G213" s="12">
        <v>26986</v>
      </c>
      <c r="H213" s="11" t="str">
        <f t="shared" si="2"/>
        <v>平成4年12月5日</v>
      </c>
      <c r="I213" s="22">
        <f t="shared" si="11"/>
        <v>33943</v>
      </c>
      <c r="J213" s="1" t="str">
        <f>"00736501"</f>
        <v>00736501</v>
      </c>
      <c r="K213" s="1" t="str">
        <f>"３４３　　　　　　　　　　　　　　　　　"</f>
        <v>３４３　　　　　　　　　　　　　　　　　</v>
      </c>
      <c r="L213" s="1"/>
    </row>
    <row r="214" spans="1:12" ht="18" customHeight="1" x14ac:dyDescent="0.15">
      <c r="A214" s="11">
        <v>168</v>
      </c>
      <c r="B214" s="11" t="s">
        <v>63</v>
      </c>
      <c r="C214" s="11" t="s">
        <v>123</v>
      </c>
      <c r="D214" s="11">
        <v>1</v>
      </c>
      <c r="E214" s="11" t="s">
        <v>4</v>
      </c>
      <c r="F214" s="12">
        <v>26986</v>
      </c>
      <c r="G214" s="12">
        <v>26986</v>
      </c>
      <c r="H214" s="11" t="str">
        <f t="shared" si="2"/>
        <v>平成4年12月5日</v>
      </c>
      <c r="I214" s="22">
        <f t="shared" si="11"/>
        <v>33943</v>
      </c>
      <c r="J214" s="1" t="str">
        <f>"00736504"</f>
        <v>00736504</v>
      </c>
      <c r="K214" s="1" t="str">
        <f>"３４４　　　　　　　　　　　　　　　　　"</f>
        <v>３４４　　　　　　　　　　　　　　　　　</v>
      </c>
      <c r="L214" s="1"/>
    </row>
    <row r="215" spans="1:12" ht="18" customHeight="1" x14ac:dyDescent="0.15">
      <c r="A215" s="11">
        <v>169</v>
      </c>
      <c r="B215" s="11" t="s">
        <v>63</v>
      </c>
      <c r="C215" s="11" t="s">
        <v>123</v>
      </c>
      <c r="D215" s="11">
        <v>1</v>
      </c>
      <c r="E215" s="11" t="s">
        <v>4</v>
      </c>
      <c r="F215" s="12">
        <v>26986</v>
      </c>
      <c r="G215" s="12">
        <v>26986</v>
      </c>
      <c r="H215" s="11" t="str">
        <f t="shared" si="2"/>
        <v>平成4年12月5日</v>
      </c>
      <c r="I215" s="22">
        <f t="shared" si="11"/>
        <v>33943</v>
      </c>
      <c r="J215" s="1" t="str">
        <f>"00736507"</f>
        <v>00736507</v>
      </c>
      <c r="K215" s="1" t="str">
        <f>"３４５　　　　　　　　　　　　　　　　　"</f>
        <v>３４５　　　　　　　　　　　　　　　　　</v>
      </c>
      <c r="L215" s="1"/>
    </row>
    <row r="216" spans="1:12" ht="18" customHeight="1" x14ac:dyDescent="0.15">
      <c r="A216" s="11">
        <v>170</v>
      </c>
      <c r="B216" s="11" t="s">
        <v>63</v>
      </c>
      <c r="C216" s="11" t="s">
        <v>123</v>
      </c>
      <c r="D216" s="11">
        <v>1</v>
      </c>
      <c r="E216" s="11" t="s">
        <v>4</v>
      </c>
      <c r="F216" s="12">
        <v>26986</v>
      </c>
      <c r="G216" s="12">
        <v>26986</v>
      </c>
      <c r="H216" s="11" t="str">
        <f t="shared" si="2"/>
        <v>平成4年12月5日</v>
      </c>
      <c r="I216" s="22">
        <f t="shared" si="11"/>
        <v>33943</v>
      </c>
      <c r="J216" s="1" t="str">
        <f>"00736510"</f>
        <v>00736510</v>
      </c>
      <c r="K216" s="1" t="str">
        <f>"３４６　　　　　　　　　　　　　　　　　"</f>
        <v>３４６　　　　　　　　　　　　　　　　　</v>
      </c>
      <c r="L216" s="1"/>
    </row>
    <row r="217" spans="1:12" ht="18" customHeight="1" x14ac:dyDescent="0.15">
      <c r="A217" s="11">
        <v>171</v>
      </c>
      <c r="B217" s="11" t="s">
        <v>63</v>
      </c>
      <c r="C217" s="11" t="s">
        <v>123</v>
      </c>
      <c r="D217" s="11">
        <v>1</v>
      </c>
      <c r="E217" s="11" t="s">
        <v>4</v>
      </c>
      <c r="F217" s="12">
        <v>26986</v>
      </c>
      <c r="G217" s="12">
        <v>26986</v>
      </c>
      <c r="H217" s="11" t="str">
        <f t="shared" si="2"/>
        <v>平成4年12月5日</v>
      </c>
      <c r="I217" s="22">
        <f t="shared" si="11"/>
        <v>33943</v>
      </c>
      <c r="J217" s="1" t="str">
        <f>"00736513"</f>
        <v>00736513</v>
      </c>
      <c r="K217" s="1" t="str">
        <f>"３４７　　　　　　　　　　　　　　　　　"</f>
        <v>３４７　　　　　　　　　　　　　　　　　</v>
      </c>
      <c r="L217" s="1"/>
    </row>
    <row r="218" spans="1:12" ht="18" customHeight="1" x14ac:dyDescent="0.15">
      <c r="A218" s="11">
        <v>172</v>
      </c>
      <c r="B218" s="11" t="s">
        <v>63</v>
      </c>
      <c r="C218" s="11" t="s">
        <v>123</v>
      </c>
      <c r="D218" s="11">
        <v>1</v>
      </c>
      <c r="E218" s="11" t="s">
        <v>4</v>
      </c>
      <c r="F218" s="12">
        <v>26986</v>
      </c>
      <c r="G218" s="12">
        <v>26986</v>
      </c>
      <c r="H218" s="11" t="str">
        <f t="shared" si="2"/>
        <v>平成4年12月5日</v>
      </c>
      <c r="I218" s="22">
        <f t="shared" si="11"/>
        <v>33943</v>
      </c>
      <c r="J218" s="1" t="str">
        <f>"00736516"</f>
        <v>00736516</v>
      </c>
      <c r="K218" s="1" t="str">
        <f>"３４８　　　　　　　　　　　　　　　　　"</f>
        <v>３４８　　　　　　　　　　　　　　　　　</v>
      </c>
      <c r="L218" s="1"/>
    </row>
    <row r="219" spans="1:12" ht="18" customHeight="1" x14ac:dyDescent="0.15">
      <c r="A219" s="11">
        <v>173</v>
      </c>
      <c r="B219" s="11" t="s">
        <v>63</v>
      </c>
      <c r="C219" s="11" t="s">
        <v>123</v>
      </c>
      <c r="D219" s="11">
        <v>1</v>
      </c>
      <c r="E219" s="11" t="s">
        <v>4</v>
      </c>
      <c r="F219" s="12">
        <v>26986</v>
      </c>
      <c r="G219" s="12">
        <v>26986</v>
      </c>
      <c r="H219" s="11" t="str">
        <f t="shared" si="2"/>
        <v>平成4年12月5日</v>
      </c>
      <c r="I219" s="22">
        <f t="shared" si="11"/>
        <v>33943</v>
      </c>
      <c r="J219" s="1" t="str">
        <f>"00736519"</f>
        <v>00736519</v>
      </c>
      <c r="K219" s="1" t="str">
        <f>"３４９　　　　　　　　　　　　　　　　　"</f>
        <v>３４９　　　　　　　　　　　　　　　　　</v>
      </c>
      <c r="L219" s="1"/>
    </row>
    <row r="220" spans="1:12" ht="18" customHeight="1" x14ac:dyDescent="0.15">
      <c r="A220" s="11">
        <v>174</v>
      </c>
      <c r="B220" s="11" t="s">
        <v>63</v>
      </c>
      <c r="C220" s="11" t="s">
        <v>123</v>
      </c>
      <c r="D220" s="11">
        <v>1</v>
      </c>
      <c r="E220" s="11" t="s">
        <v>4</v>
      </c>
      <c r="F220" s="12">
        <v>26986</v>
      </c>
      <c r="G220" s="12">
        <v>26986</v>
      </c>
      <c r="H220" s="11" t="str">
        <f t="shared" si="2"/>
        <v>平成4年12月5日</v>
      </c>
      <c r="I220" s="22">
        <f t="shared" si="11"/>
        <v>33943</v>
      </c>
      <c r="J220" s="1" t="str">
        <f>"00736522"</f>
        <v>00736522</v>
      </c>
      <c r="K220" s="1" t="str">
        <f>"３５０　　　　　　　　　　　　　　　　　"</f>
        <v>３５０　　　　　　　　　　　　　　　　　</v>
      </c>
      <c r="L220" s="1"/>
    </row>
    <row r="221" spans="1:12" ht="18" customHeight="1" x14ac:dyDescent="0.15">
      <c r="A221" s="11">
        <v>175</v>
      </c>
      <c r="B221" s="11" t="s">
        <v>63</v>
      </c>
      <c r="C221" s="11" t="s">
        <v>123</v>
      </c>
      <c r="D221" s="11">
        <v>1</v>
      </c>
      <c r="E221" s="11" t="s">
        <v>4</v>
      </c>
      <c r="F221" s="12">
        <v>26986</v>
      </c>
      <c r="G221" s="12">
        <v>26986</v>
      </c>
      <c r="H221" s="11" t="str">
        <f t="shared" si="2"/>
        <v>平成4年12月5日</v>
      </c>
      <c r="I221" s="22">
        <f t="shared" si="11"/>
        <v>33943</v>
      </c>
      <c r="J221" s="1" t="str">
        <f>"00736525"</f>
        <v>00736525</v>
      </c>
      <c r="K221" s="1" t="str">
        <f>"３５１　　　　　　　　　　　　　　　　　"</f>
        <v>３５１　　　　　　　　　　　　　　　　　</v>
      </c>
      <c r="L221" s="1"/>
    </row>
    <row r="222" spans="1:12" ht="18" customHeight="1" x14ac:dyDescent="0.15">
      <c r="A222" s="11">
        <v>176</v>
      </c>
      <c r="B222" s="11" t="s">
        <v>63</v>
      </c>
      <c r="C222" s="11" t="s">
        <v>123</v>
      </c>
      <c r="D222" s="11">
        <v>1</v>
      </c>
      <c r="E222" s="11" t="s">
        <v>4</v>
      </c>
      <c r="F222" s="12">
        <v>26986</v>
      </c>
      <c r="G222" s="12">
        <v>26986</v>
      </c>
      <c r="H222" s="11" t="str">
        <f t="shared" si="2"/>
        <v>平成4年12月5日</v>
      </c>
      <c r="I222" s="22">
        <f t="shared" si="11"/>
        <v>33943</v>
      </c>
      <c r="J222" s="1" t="str">
        <f>"00736528"</f>
        <v>00736528</v>
      </c>
      <c r="K222" s="1" t="str">
        <f>"３５２　　　　　　　　　　　　　　　　　"</f>
        <v>３５２　　　　　　　　　　　　　　　　　</v>
      </c>
      <c r="L222" s="1"/>
    </row>
    <row r="223" spans="1:12" ht="18" customHeight="1" x14ac:dyDescent="0.15">
      <c r="A223" s="11">
        <v>280</v>
      </c>
      <c r="B223" s="11" t="s">
        <v>73</v>
      </c>
      <c r="C223" s="11" t="s">
        <v>133</v>
      </c>
      <c r="D223" s="11">
        <v>1</v>
      </c>
      <c r="E223" s="11" t="s">
        <v>4</v>
      </c>
      <c r="F223" s="12">
        <v>252400</v>
      </c>
      <c r="G223" s="12">
        <v>252400</v>
      </c>
      <c r="H223" s="11" t="str">
        <f t="shared" si="2"/>
        <v>平成4年12月5日</v>
      </c>
      <c r="I223" s="22">
        <f t="shared" si="11"/>
        <v>33943</v>
      </c>
      <c r="J223" s="1" t="str">
        <f>"00736892"</f>
        <v>00736892</v>
      </c>
      <c r="K223" s="1" t="str">
        <f>"３０１　　　　　　　　　　　　　　　　　"</f>
        <v>３０１　　　　　　　　　　　　　　　　　</v>
      </c>
      <c r="L223" s="1"/>
    </row>
    <row r="224" spans="1:12" ht="18" customHeight="1" x14ac:dyDescent="0.15">
      <c r="A224" s="11">
        <v>281</v>
      </c>
      <c r="B224" s="11" t="s">
        <v>73</v>
      </c>
      <c r="C224" s="11" t="s">
        <v>133</v>
      </c>
      <c r="D224" s="11">
        <v>1</v>
      </c>
      <c r="E224" s="11" t="s">
        <v>4</v>
      </c>
      <c r="F224" s="12">
        <v>252400</v>
      </c>
      <c r="G224" s="12">
        <v>252400</v>
      </c>
      <c r="H224" s="11" t="str">
        <f t="shared" si="2"/>
        <v>平成4年12月5日</v>
      </c>
      <c r="I224" s="22">
        <f t="shared" si="11"/>
        <v>33943</v>
      </c>
      <c r="J224" s="1" t="str">
        <f>"00736894"</f>
        <v>00736894</v>
      </c>
      <c r="K224" s="1" t="str">
        <f>"３０２　　　　　　　　　　　　　　　　　"</f>
        <v>３０２　　　　　　　　　　　　　　　　　</v>
      </c>
      <c r="L224" s="1"/>
    </row>
    <row r="225" spans="1:12" ht="18" customHeight="1" x14ac:dyDescent="0.15">
      <c r="A225" s="11">
        <v>282</v>
      </c>
      <c r="B225" s="11" t="s">
        <v>73</v>
      </c>
      <c r="C225" s="11" t="s">
        <v>133</v>
      </c>
      <c r="D225" s="11">
        <v>1</v>
      </c>
      <c r="E225" s="11" t="s">
        <v>4</v>
      </c>
      <c r="F225" s="12">
        <v>139100</v>
      </c>
      <c r="G225" s="12">
        <v>139100</v>
      </c>
      <c r="H225" s="11" t="str">
        <f t="shared" si="2"/>
        <v>平成4年12月5日</v>
      </c>
      <c r="I225" s="22">
        <f t="shared" si="11"/>
        <v>33943</v>
      </c>
      <c r="J225" s="1" t="str">
        <f>"00736897"</f>
        <v>00736897</v>
      </c>
      <c r="K225" s="1" t="str">
        <f>"３０３　　　　　　　　　　　　　　　　　"</f>
        <v>３０３　　　　　　　　　　　　　　　　　</v>
      </c>
      <c r="L225" s="1"/>
    </row>
    <row r="226" spans="1:12" ht="18" customHeight="1" x14ac:dyDescent="0.15">
      <c r="A226" s="11">
        <v>283</v>
      </c>
      <c r="B226" s="11" t="s">
        <v>73</v>
      </c>
      <c r="C226" s="11" t="s">
        <v>133</v>
      </c>
      <c r="D226" s="11">
        <v>1</v>
      </c>
      <c r="E226" s="11" t="s">
        <v>4</v>
      </c>
      <c r="F226" s="12">
        <v>139100</v>
      </c>
      <c r="G226" s="12">
        <v>139100</v>
      </c>
      <c r="H226" s="11" t="str">
        <f t="shared" si="2"/>
        <v>平成4年12月5日</v>
      </c>
      <c r="I226" s="22">
        <f t="shared" si="11"/>
        <v>33943</v>
      </c>
      <c r="J226" s="1" t="str">
        <f>"00736899"</f>
        <v>00736899</v>
      </c>
      <c r="K226" s="1" t="str">
        <f>"３０４　　　　　　　　　　　　　　　　　"</f>
        <v>３０４　　　　　　　　　　　　　　　　　</v>
      </c>
      <c r="L226" s="1"/>
    </row>
    <row r="227" spans="1:12" ht="18" customHeight="1" x14ac:dyDescent="0.15">
      <c r="A227" s="11">
        <v>284</v>
      </c>
      <c r="B227" s="11" t="s">
        <v>73</v>
      </c>
      <c r="C227" s="11" t="s">
        <v>133</v>
      </c>
      <c r="D227" s="11">
        <v>1</v>
      </c>
      <c r="E227" s="11" t="s">
        <v>4</v>
      </c>
      <c r="F227" s="12">
        <v>139100</v>
      </c>
      <c r="G227" s="12">
        <v>139100</v>
      </c>
      <c r="H227" s="11" t="str">
        <f t="shared" si="2"/>
        <v>平成4年12月5日</v>
      </c>
      <c r="I227" s="22">
        <f t="shared" si="11"/>
        <v>33943</v>
      </c>
      <c r="J227" s="1" t="str">
        <f>"00736901"</f>
        <v>00736901</v>
      </c>
      <c r="K227" s="1" t="str">
        <f>"３０５　　　　　　　　　　　　　　　　　"</f>
        <v>３０５　　　　　　　　　　　　　　　　　</v>
      </c>
      <c r="L227" s="1"/>
    </row>
    <row r="228" spans="1:12" ht="18" customHeight="1" x14ac:dyDescent="0.15">
      <c r="A228" s="11">
        <v>285</v>
      </c>
      <c r="B228" s="11" t="s">
        <v>73</v>
      </c>
      <c r="C228" s="11" t="s">
        <v>133</v>
      </c>
      <c r="D228" s="11">
        <v>1</v>
      </c>
      <c r="E228" s="11" t="s">
        <v>4</v>
      </c>
      <c r="F228" s="12">
        <v>139100</v>
      </c>
      <c r="G228" s="12">
        <v>139100</v>
      </c>
      <c r="H228" s="11" t="str">
        <f t="shared" si="2"/>
        <v>平成4年12月5日</v>
      </c>
      <c r="I228" s="22">
        <f t="shared" si="11"/>
        <v>33943</v>
      </c>
      <c r="J228" s="1" t="str">
        <f>"00736903"</f>
        <v>00736903</v>
      </c>
      <c r="K228" s="1" t="str">
        <f>"３０６　　　　　　　　　　　　　　　　　"</f>
        <v>３０６　　　　　　　　　　　　　　　　　</v>
      </c>
      <c r="L228" s="1"/>
    </row>
    <row r="229" spans="1:12" ht="18" customHeight="1" x14ac:dyDescent="0.15">
      <c r="A229" s="11">
        <v>286</v>
      </c>
      <c r="B229" s="11" t="s">
        <v>73</v>
      </c>
      <c r="C229" s="11" t="s">
        <v>134</v>
      </c>
      <c r="D229" s="11">
        <v>1</v>
      </c>
      <c r="E229" s="11" t="s">
        <v>4</v>
      </c>
      <c r="F229" s="12">
        <v>98777</v>
      </c>
      <c r="G229" s="12">
        <v>98777</v>
      </c>
      <c r="H229" s="11" t="str">
        <f t="shared" si="2"/>
        <v>平成4年12月5日</v>
      </c>
      <c r="I229" s="22">
        <f t="shared" si="11"/>
        <v>33943</v>
      </c>
      <c r="J229" s="1" t="str">
        <f>"00736905"</f>
        <v>00736905</v>
      </c>
      <c r="K229" s="1" t="str">
        <f>"３０７　　　　　　　　　　　　　　　　　"</f>
        <v>３０７　　　　　　　　　　　　　　　　　</v>
      </c>
      <c r="L229" s="1"/>
    </row>
    <row r="230" spans="1:12" ht="18" customHeight="1" x14ac:dyDescent="0.15">
      <c r="A230" s="11">
        <v>287</v>
      </c>
      <c r="B230" s="11" t="s">
        <v>73</v>
      </c>
      <c r="C230" s="11" t="s">
        <v>134</v>
      </c>
      <c r="D230" s="11">
        <v>1</v>
      </c>
      <c r="E230" s="11" t="s">
        <v>4</v>
      </c>
      <c r="F230" s="12">
        <v>49028</v>
      </c>
      <c r="G230" s="12">
        <v>49028</v>
      </c>
      <c r="H230" s="11" t="str">
        <f t="shared" si="2"/>
        <v>平成4年12月5日</v>
      </c>
      <c r="I230" s="22">
        <f t="shared" si="11"/>
        <v>33943</v>
      </c>
      <c r="J230" s="1" t="str">
        <f>"00736907"</f>
        <v>00736907</v>
      </c>
      <c r="K230" s="1" t="str">
        <f>"３０８　　　　　　　　　　　　　　　　　"</f>
        <v>３０８　　　　　　　　　　　　　　　　　</v>
      </c>
      <c r="L230" s="1"/>
    </row>
    <row r="231" spans="1:12" ht="18" customHeight="1" x14ac:dyDescent="0.15">
      <c r="A231" s="11">
        <v>300</v>
      </c>
      <c r="B231" s="11" t="s">
        <v>28</v>
      </c>
      <c r="C231" s="11" t="s">
        <v>140</v>
      </c>
      <c r="D231" s="11">
        <v>1</v>
      </c>
      <c r="E231" s="11" t="s">
        <v>4</v>
      </c>
      <c r="F231" s="12">
        <v>38300</v>
      </c>
      <c r="G231" s="12">
        <v>38300</v>
      </c>
      <c r="H231" s="11" t="str">
        <f t="shared" si="2"/>
        <v>平成4年12月5日</v>
      </c>
      <c r="I231" s="22">
        <f t="shared" si="11"/>
        <v>33943</v>
      </c>
      <c r="J231" s="1" t="str">
        <f>"00736935"</f>
        <v>00736935</v>
      </c>
      <c r="K231" s="1" t="str">
        <f>"３０１　　　　　　　　　　　　　　　　　"</f>
        <v>３０１　　　　　　　　　　　　　　　　　</v>
      </c>
      <c r="L231" s="1"/>
    </row>
    <row r="232" spans="1:12" ht="18" customHeight="1" x14ac:dyDescent="0.15">
      <c r="A232" s="11">
        <v>301</v>
      </c>
      <c r="B232" s="11" t="s">
        <v>28</v>
      </c>
      <c r="C232" s="11" t="s">
        <v>140</v>
      </c>
      <c r="D232" s="11">
        <v>1</v>
      </c>
      <c r="E232" s="11" t="s">
        <v>4</v>
      </c>
      <c r="F232" s="12">
        <v>38300</v>
      </c>
      <c r="G232" s="12">
        <v>38300</v>
      </c>
      <c r="H232" s="11" t="str">
        <f t="shared" si="2"/>
        <v>平成4年12月5日</v>
      </c>
      <c r="I232" s="22">
        <f t="shared" si="11"/>
        <v>33943</v>
      </c>
      <c r="J232" s="1" t="str">
        <f>"00736937"</f>
        <v>00736937</v>
      </c>
      <c r="K232" s="1" t="str">
        <f>"３０２　　　　　　　　　　　　　　　　　"</f>
        <v>３０２　　　　　　　　　　　　　　　　　</v>
      </c>
      <c r="L232" s="1"/>
    </row>
    <row r="233" spans="1:12" ht="18" customHeight="1" x14ac:dyDescent="0.15">
      <c r="A233" s="11">
        <v>302</v>
      </c>
      <c r="B233" s="11" t="s">
        <v>28</v>
      </c>
      <c r="C233" s="11" t="s">
        <v>140</v>
      </c>
      <c r="D233" s="11">
        <v>1</v>
      </c>
      <c r="E233" s="11" t="s">
        <v>4</v>
      </c>
      <c r="F233" s="12">
        <v>38300</v>
      </c>
      <c r="G233" s="12">
        <v>38300</v>
      </c>
      <c r="H233" s="11" t="str">
        <f t="shared" si="2"/>
        <v>平成4年12月5日</v>
      </c>
      <c r="I233" s="22">
        <f t="shared" si="11"/>
        <v>33943</v>
      </c>
      <c r="J233" s="1" t="str">
        <f>"00736939"</f>
        <v>00736939</v>
      </c>
      <c r="K233" s="1" t="str">
        <f>"３０３　　　　　　　　　　　　　　　　　"</f>
        <v>３０３　　　　　　　　　　　　　　　　　</v>
      </c>
      <c r="L233" s="1"/>
    </row>
    <row r="234" spans="1:12" ht="18" customHeight="1" x14ac:dyDescent="0.15">
      <c r="A234" s="11">
        <v>303</v>
      </c>
      <c r="B234" s="11" t="s">
        <v>28</v>
      </c>
      <c r="C234" s="11" t="s">
        <v>140</v>
      </c>
      <c r="D234" s="11">
        <v>1</v>
      </c>
      <c r="E234" s="11" t="s">
        <v>4</v>
      </c>
      <c r="F234" s="12">
        <v>38300</v>
      </c>
      <c r="G234" s="12">
        <v>38300</v>
      </c>
      <c r="H234" s="11" t="str">
        <f t="shared" si="2"/>
        <v>平成4年12月5日</v>
      </c>
      <c r="I234" s="22">
        <f t="shared" si="11"/>
        <v>33943</v>
      </c>
      <c r="J234" s="1" t="str">
        <f>"00736941"</f>
        <v>00736941</v>
      </c>
      <c r="K234" s="1" t="str">
        <f>"３０４　　　　　　　　　　　　　　　　　"</f>
        <v>３０４　　　　　　　　　　　　　　　　　</v>
      </c>
      <c r="L234" s="1"/>
    </row>
    <row r="235" spans="1:12" ht="18" customHeight="1" x14ac:dyDescent="0.15">
      <c r="A235" s="11">
        <v>304</v>
      </c>
      <c r="B235" s="11" t="s">
        <v>28</v>
      </c>
      <c r="C235" s="11" t="s">
        <v>140</v>
      </c>
      <c r="D235" s="11">
        <v>1</v>
      </c>
      <c r="E235" s="11" t="s">
        <v>4</v>
      </c>
      <c r="F235" s="12">
        <v>38300</v>
      </c>
      <c r="G235" s="12">
        <v>38300</v>
      </c>
      <c r="H235" s="11" t="str">
        <f t="shared" si="2"/>
        <v>平成4年12月5日</v>
      </c>
      <c r="I235" s="22">
        <f t="shared" si="11"/>
        <v>33943</v>
      </c>
      <c r="J235" s="1" t="str">
        <f>"00736943"</f>
        <v>00736943</v>
      </c>
      <c r="K235" s="1" t="str">
        <f>"３０５　　　　　　　　　　　　　　　　　"</f>
        <v>３０５　　　　　　　　　　　　　　　　　</v>
      </c>
      <c r="L235" s="1"/>
    </row>
    <row r="236" spans="1:12" ht="18" customHeight="1" x14ac:dyDescent="0.15">
      <c r="A236" s="11">
        <v>305</v>
      </c>
      <c r="B236" s="11" t="s">
        <v>28</v>
      </c>
      <c r="C236" s="11" t="s">
        <v>140</v>
      </c>
      <c r="D236" s="11">
        <v>1</v>
      </c>
      <c r="E236" s="11" t="s">
        <v>4</v>
      </c>
      <c r="F236" s="12">
        <v>38300</v>
      </c>
      <c r="G236" s="12">
        <v>38300</v>
      </c>
      <c r="H236" s="11" t="str">
        <f t="shared" si="2"/>
        <v>平成4年12月5日</v>
      </c>
      <c r="I236" s="22">
        <f t="shared" si="11"/>
        <v>33943</v>
      </c>
      <c r="J236" s="1" t="str">
        <f>"00736945"</f>
        <v>00736945</v>
      </c>
      <c r="K236" s="1" t="str">
        <f>"３０６　　　　　　　　　　　　　　　　　"</f>
        <v>３０６　　　　　　　　　　　　　　　　　</v>
      </c>
      <c r="L236" s="1"/>
    </row>
    <row r="237" spans="1:12" ht="18" customHeight="1" x14ac:dyDescent="0.15">
      <c r="A237" s="11">
        <v>306</v>
      </c>
      <c r="B237" s="11" t="s">
        <v>28</v>
      </c>
      <c r="C237" s="11" t="s">
        <v>140</v>
      </c>
      <c r="D237" s="11">
        <v>1</v>
      </c>
      <c r="E237" s="11" t="s">
        <v>4</v>
      </c>
      <c r="F237" s="12">
        <v>38300</v>
      </c>
      <c r="G237" s="12">
        <v>38300</v>
      </c>
      <c r="H237" s="11" t="str">
        <f t="shared" si="2"/>
        <v>平成4年12月5日</v>
      </c>
      <c r="I237" s="22">
        <f t="shared" si="11"/>
        <v>33943</v>
      </c>
      <c r="J237" s="1" t="str">
        <f>"00736947"</f>
        <v>00736947</v>
      </c>
      <c r="K237" s="1" t="str">
        <f>"３０７　　　　　　　　　　　　　　　　　"</f>
        <v>３０７　　　　　　　　　　　　　　　　　</v>
      </c>
      <c r="L237" s="1"/>
    </row>
    <row r="238" spans="1:12" ht="18" customHeight="1" x14ac:dyDescent="0.15">
      <c r="A238" s="11">
        <v>307</v>
      </c>
      <c r="B238" s="11" t="s">
        <v>28</v>
      </c>
      <c r="C238" s="11" t="s">
        <v>140</v>
      </c>
      <c r="D238" s="11">
        <v>1</v>
      </c>
      <c r="E238" s="11" t="s">
        <v>4</v>
      </c>
      <c r="F238" s="12">
        <v>38300</v>
      </c>
      <c r="G238" s="12">
        <v>38300</v>
      </c>
      <c r="H238" s="11" t="str">
        <f t="shared" ref="H238:H301" si="12">"平成4年12月5日"</f>
        <v>平成4年12月5日</v>
      </c>
      <c r="I238" s="22">
        <f t="shared" si="11"/>
        <v>33943</v>
      </c>
      <c r="J238" s="1" t="str">
        <f>"00736949"</f>
        <v>00736949</v>
      </c>
      <c r="K238" s="1" t="str">
        <f>"３０８　　　　　　　　　　　　　　　　　"</f>
        <v>３０８　　　　　　　　　　　　　　　　　</v>
      </c>
      <c r="L238" s="1"/>
    </row>
    <row r="239" spans="1:12" ht="18" customHeight="1" x14ac:dyDescent="0.15">
      <c r="A239" s="11">
        <v>308</v>
      </c>
      <c r="B239" s="11" t="s">
        <v>28</v>
      </c>
      <c r="C239" s="11" t="s">
        <v>140</v>
      </c>
      <c r="D239" s="11">
        <v>1</v>
      </c>
      <c r="E239" s="11" t="s">
        <v>4</v>
      </c>
      <c r="F239" s="12">
        <v>38300</v>
      </c>
      <c r="G239" s="12">
        <v>38300</v>
      </c>
      <c r="H239" s="11" t="str">
        <f t="shared" si="12"/>
        <v>平成4年12月5日</v>
      </c>
      <c r="I239" s="22">
        <f t="shared" si="11"/>
        <v>33943</v>
      </c>
      <c r="J239" s="1" t="str">
        <f>"00736951"</f>
        <v>00736951</v>
      </c>
      <c r="K239" s="1" t="str">
        <f>"３０９　　　　　　　　　　　　　　　　　"</f>
        <v>３０９　　　　　　　　　　　　　　　　　</v>
      </c>
      <c r="L239" s="1"/>
    </row>
    <row r="240" spans="1:12" ht="18" customHeight="1" x14ac:dyDescent="0.15">
      <c r="A240" s="11">
        <v>309</v>
      </c>
      <c r="B240" s="11" t="s">
        <v>28</v>
      </c>
      <c r="C240" s="11" t="s">
        <v>140</v>
      </c>
      <c r="D240" s="11">
        <v>1</v>
      </c>
      <c r="E240" s="11" t="s">
        <v>4</v>
      </c>
      <c r="F240" s="12">
        <v>38300</v>
      </c>
      <c r="G240" s="12">
        <v>38300</v>
      </c>
      <c r="H240" s="11" t="str">
        <f t="shared" si="12"/>
        <v>平成4年12月5日</v>
      </c>
      <c r="I240" s="22">
        <f t="shared" si="11"/>
        <v>33943</v>
      </c>
      <c r="J240" s="1" t="str">
        <f>"00736953"</f>
        <v>00736953</v>
      </c>
      <c r="K240" s="1" t="str">
        <f>"３１０　　　　　　　　　　　　　　　　　"</f>
        <v>３１０　　　　　　　　　　　　　　　　　</v>
      </c>
      <c r="L240" s="1"/>
    </row>
    <row r="241" spans="1:12" ht="18" customHeight="1" x14ac:dyDescent="0.15">
      <c r="A241" s="11">
        <v>310</v>
      </c>
      <c r="B241" s="11" t="s">
        <v>28</v>
      </c>
      <c r="C241" s="11" t="s">
        <v>140</v>
      </c>
      <c r="D241" s="11">
        <v>1</v>
      </c>
      <c r="E241" s="11" t="s">
        <v>4</v>
      </c>
      <c r="F241" s="12">
        <v>38300</v>
      </c>
      <c r="G241" s="12">
        <v>38300</v>
      </c>
      <c r="H241" s="11" t="str">
        <f t="shared" si="12"/>
        <v>平成4年12月5日</v>
      </c>
      <c r="I241" s="22">
        <f t="shared" si="11"/>
        <v>33943</v>
      </c>
      <c r="J241" s="1" t="str">
        <f>"00736955"</f>
        <v>00736955</v>
      </c>
      <c r="K241" s="1" t="str">
        <f>"３１１　　　　　　　　　　　　　　　　　"</f>
        <v>３１１　　　　　　　　　　　　　　　　　</v>
      </c>
      <c r="L241" s="1"/>
    </row>
    <row r="242" spans="1:12" ht="18" customHeight="1" x14ac:dyDescent="0.15">
      <c r="A242" s="11">
        <v>311</v>
      </c>
      <c r="B242" s="11" t="s">
        <v>28</v>
      </c>
      <c r="C242" s="11" t="s">
        <v>140</v>
      </c>
      <c r="D242" s="11">
        <v>1</v>
      </c>
      <c r="E242" s="11" t="s">
        <v>4</v>
      </c>
      <c r="F242" s="12">
        <v>38300</v>
      </c>
      <c r="G242" s="12">
        <v>38300</v>
      </c>
      <c r="H242" s="11" t="str">
        <f t="shared" si="12"/>
        <v>平成4年12月5日</v>
      </c>
      <c r="I242" s="22">
        <f t="shared" si="11"/>
        <v>33943</v>
      </c>
      <c r="J242" s="1" t="str">
        <f>"00736957"</f>
        <v>00736957</v>
      </c>
      <c r="K242" s="1" t="str">
        <f>"３１２　　　　　　　　　　　　　　　　　"</f>
        <v>３１２　　　　　　　　　　　　　　　　　</v>
      </c>
      <c r="L242" s="1"/>
    </row>
    <row r="243" spans="1:12" ht="18" customHeight="1" x14ac:dyDescent="0.15">
      <c r="A243" s="11">
        <v>312</v>
      </c>
      <c r="B243" s="11" t="s">
        <v>28</v>
      </c>
      <c r="C243" s="11" t="s">
        <v>140</v>
      </c>
      <c r="D243" s="11">
        <v>1</v>
      </c>
      <c r="E243" s="11" t="s">
        <v>4</v>
      </c>
      <c r="F243" s="12">
        <v>38300</v>
      </c>
      <c r="G243" s="12">
        <v>38300</v>
      </c>
      <c r="H243" s="11" t="str">
        <f t="shared" si="12"/>
        <v>平成4年12月5日</v>
      </c>
      <c r="I243" s="22">
        <f t="shared" si="11"/>
        <v>33943</v>
      </c>
      <c r="J243" s="1" t="str">
        <f>"00736959"</f>
        <v>00736959</v>
      </c>
      <c r="K243" s="1" t="str">
        <f>"３１３　　　　　　　　　　　　　　　　　"</f>
        <v>３１３　　　　　　　　　　　　　　　　　</v>
      </c>
      <c r="L243" s="1"/>
    </row>
    <row r="244" spans="1:12" ht="18" customHeight="1" x14ac:dyDescent="0.15">
      <c r="A244" s="11">
        <v>313</v>
      </c>
      <c r="B244" s="11" t="s">
        <v>28</v>
      </c>
      <c r="C244" s="11" t="s">
        <v>140</v>
      </c>
      <c r="D244" s="11">
        <v>1</v>
      </c>
      <c r="E244" s="11" t="s">
        <v>4</v>
      </c>
      <c r="F244" s="12">
        <v>38300</v>
      </c>
      <c r="G244" s="12">
        <v>38300</v>
      </c>
      <c r="H244" s="11" t="str">
        <f t="shared" si="12"/>
        <v>平成4年12月5日</v>
      </c>
      <c r="I244" s="22">
        <f t="shared" si="11"/>
        <v>33943</v>
      </c>
      <c r="J244" s="1" t="str">
        <f>"00736961"</f>
        <v>00736961</v>
      </c>
      <c r="K244" s="1" t="str">
        <f>"３１４　　　　　　　　　　　　　　　　　"</f>
        <v>３１４　　　　　　　　　　　　　　　　　</v>
      </c>
      <c r="L244" s="1"/>
    </row>
    <row r="245" spans="1:12" ht="18" customHeight="1" x14ac:dyDescent="0.15">
      <c r="A245" s="11">
        <v>314</v>
      </c>
      <c r="B245" s="11" t="s">
        <v>28</v>
      </c>
      <c r="C245" s="11" t="s">
        <v>140</v>
      </c>
      <c r="D245" s="11">
        <v>1</v>
      </c>
      <c r="E245" s="11" t="s">
        <v>4</v>
      </c>
      <c r="F245" s="12">
        <v>38300</v>
      </c>
      <c r="G245" s="12">
        <v>38300</v>
      </c>
      <c r="H245" s="11" t="str">
        <f t="shared" si="12"/>
        <v>平成4年12月5日</v>
      </c>
      <c r="I245" s="22">
        <f t="shared" si="11"/>
        <v>33943</v>
      </c>
      <c r="J245" s="1" t="str">
        <f>"00736963"</f>
        <v>00736963</v>
      </c>
      <c r="K245" s="1" t="str">
        <f>"３１５　　　　　　　　　　　　　　　　　"</f>
        <v>３１５　　　　　　　　　　　　　　　　　</v>
      </c>
      <c r="L245" s="1"/>
    </row>
    <row r="246" spans="1:12" ht="18" customHeight="1" x14ac:dyDescent="0.15">
      <c r="A246" s="11">
        <v>315</v>
      </c>
      <c r="B246" s="11" t="s">
        <v>28</v>
      </c>
      <c r="C246" s="11" t="s">
        <v>140</v>
      </c>
      <c r="D246" s="11">
        <v>1</v>
      </c>
      <c r="E246" s="11" t="s">
        <v>4</v>
      </c>
      <c r="F246" s="12">
        <v>38300</v>
      </c>
      <c r="G246" s="12">
        <v>38300</v>
      </c>
      <c r="H246" s="11" t="str">
        <f t="shared" si="12"/>
        <v>平成4年12月5日</v>
      </c>
      <c r="I246" s="22">
        <f t="shared" si="11"/>
        <v>33943</v>
      </c>
      <c r="J246" s="1" t="str">
        <f>"00736965"</f>
        <v>00736965</v>
      </c>
      <c r="K246" s="1" t="str">
        <f>"３１６　　　　　　　　　　　　　　　　　"</f>
        <v>３１６　　　　　　　　　　　　　　　　　</v>
      </c>
      <c r="L246" s="1"/>
    </row>
    <row r="247" spans="1:12" ht="18" customHeight="1" x14ac:dyDescent="0.15">
      <c r="A247" s="11">
        <v>316</v>
      </c>
      <c r="B247" s="11" t="s">
        <v>28</v>
      </c>
      <c r="C247" s="11" t="s">
        <v>140</v>
      </c>
      <c r="D247" s="11">
        <v>1</v>
      </c>
      <c r="E247" s="11" t="s">
        <v>4</v>
      </c>
      <c r="F247" s="12">
        <v>38300</v>
      </c>
      <c r="G247" s="12">
        <v>38300</v>
      </c>
      <c r="H247" s="11" t="str">
        <f t="shared" si="12"/>
        <v>平成4年12月5日</v>
      </c>
      <c r="I247" s="22">
        <f t="shared" si="11"/>
        <v>33943</v>
      </c>
      <c r="J247" s="1" t="str">
        <f>"00736967"</f>
        <v>00736967</v>
      </c>
      <c r="K247" s="1" t="str">
        <f>"３１７　　　　　　　　　　　　　　　　　"</f>
        <v>３１７　　　　　　　　　　　　　　　　　</v>
      </c>
      <c r="L247" s="1"/>
    </row>
    <row r="248" spans="1:12" ht="18" customHeight="1" x14ac:dyDescent="0.15">
      <c r="A248" s="11">
        <v>317</v>
      </c>
      <c r="B248" s="11" t="s">
        <v>28</v>
      </c>
      <c r="C248" s="11" t="s">
        <v>140</v>
      </c>
      <c r="D248" s="11">
        <v>1</v>
      </c>
      <c r="E248" s="11" t="s">
        <v>4</v>
      </c>
      <c r="F248" s="12">
        <v>38300</v>
      </c>
      <c r="G248" s="12">
        <v>38300</v>
      </c>
      <c r="H248" s="11" t="str">
        <f t="shared" si="12"/>
        <v>平成4年12月5日</v>
      </c>
      <c r="I248" s="22">
        <f t="shared" si="11"/>
        <v>33943</v>
      </c>
      <c r="J248" s="1" t="str">
        <f>"00736969"</f>
        <v>00736969</v>
      </c>
      <c r="K248" s="1" t="str">
        <f>"３１８　　　　　　　　　　　　　　　　　"</f>
        <v>３１８　　　　　　　　　　　　　　　　　</v>
      </c>
      <c r="L248" s="1"/>
    </row>
    <row r="249" spans="1:12" ht="18" customHeight="1" x14ac:dyDescent="0.15">
      <c r="A249" s="11">
        <v>318</v>
      </c>
      <c r="B249" s="11" t="s">
        <v>28</v>
      </c>
      <c r="C249" s="11" t="s">
        <v>140</v>
      </c>
      <c r="D249" s="11">
        <v>1</v>
      </c>
      <c r="E249" s="11" t="s">
        <v>4</v>
      </c>
      <c r="F249" s="12">
        <v>38300</v>
      </c>
      <c r="G249" s="12">
        <v>38300</v>
      </c>
      <c r="H249" s="11" t="str">
        <f t="shared" si="12"/>
        <v>平成4年12月5日</v>
      </c>
      <c r="I249" s="22">
        <f t="shared" si="11"/>
        <v>33943</v>
      </c>
      <c r="J249" s="1" t="str">
        <f>"00736971"</f>
        <v>00736971</v>
      </c>
      <c r="K249" s="1" t="str">
        <f>"３１９　　　　　　　　　　　　　　　　　"</f>
        <v>３１９　　　　　　　　　　　　　　　　　</v>
      </c>
      <c r="L249" s="1"/>
    </row>
    <row r="250" spans="1:12" ht="18" customHeight="1" x14ac:dyDescent="0.15">
      <c r="A250" s="11">
        <v>319</v>
      </c>
      <c r="B250" s="11" t="s">
        <v>28</v>
      </c>
      <c r="C250" s="11" t="s">
        <v>140</v>
      </c>
      <c r="D250" s="11">
        <v>1</v>
      </c>
      <c r="E250" s="11" t="s">
        <v>4</v>
      </c>
      <c r="F250" s="12">
        <v>38300</v>
      </c>
      <c r="G250" s="12">
        <v>38300</v>
      </c>
      <c r="H250" s="11" t="str">
        <f t="shared" si="12"/>
        <v>平成4年12月5日</v>
      </c>
      <c r="I250" s="22">
        <f t="shared" si="11"/>
        <v>33943</v>
      </c>
      <c r="J250" s="1" t="str">
        <f>"00736973"</f>
        <v>00736973</v>
      </c>
      <c r="K250" s="1" t="str">
        <f>"３２０　　　　　　　　　　　　　　　　　"</f>
        <v>３２０　　　　　　　　　　　　　　　　　</v>
      </c>
      <c r="L250" s="1"/>
    </row>
    <row r="251" spans="1:12" ht="18" customHeight="1" x14ac:dyDescent="0.15">
      <c r="A251" s="11">
        <v>320</v>
      </c>
      <c r="B251" s="11" t="s">
        <v>28</v>
      </c>
      <c r="C251" s="11" t="s">
        <v>140</v>
      </c>
      <c r="D251" s="11">
        <v>1</v>
      </c>
      <c r="E251" s="11" t="s">
        <v>4</v>
      </c>
      <c r="F251" s="12">
        <v>38300</v>
      </c>
      <c r="G251" s="12">
        <v>38300</v>
      </c>
      <c r="H251" s="11" t="str">
        <f t="shared" si="12"/>
        <v>平成4年12月5日</v>
      </c>
      <c r="I251" s="22">
        <f t="shared" si="11"/>
        <v>33943</v>
      </c>
      <c r="J251" s="1" t="str">
        <f>"00736975"</f>
        <v>00736975</v>
      </c>
      <c r="K251" s="1" t="str">
        <f>"３２１　　　　　　　　　　　　　　　　　"</f>
        <v>３２１　　　　　　　　　　　　　　　　　</v>
      </c>
      <c r="L251" s="1"/>
    </row>
    <row r="252" spans="1:12" ht="18" customHeight="1" x14ac:dyDescent="0.15">
      <c r="A252" s="11">
        <v>321</v>
      </c>
      <c r="B252" s="11" t="s">
        <v>28</v>
      </c>
      <c r="C252" s="11" t="s">
        <v>140</v>
      </c>
      <c r="D252" s="11">
        <v>1</v>
      </c>
      <c r="E252" s="11" t="s">
        <v>4</v>
      </c>
      <c r="F252" s="12">
        <v>38300</v>
      </c>
      <c r="G252" s="12">
        <v>38300</v>
      </c>
      <c r="H252" s="11" t="str">
        <f t="shared" si="12"/>
        <v>平成4年12月5日</v>
      </c>
      <c r="I252" s="22">
        <f t="shared" si="11"/>
        <v>33943</v>
      </c>
      <c r="J252" s="1" t="str">
        <f>"00736977"</f>
        <v>00736977</v>
      </c>
      <c r="K252" s="1" t="str">
        <f>"３２２　　　　　　　　　　　　　　　　　"</f>
        <v>３２２　　　　　　　　　　　　　　　　　</v>
      </c>
      <c r="L252" s="1"/>
    </row>
    <row r="253" spans="1:12" ht="18" customHeight="1" x14ac:dyDescent="0.15">
      <c r="A253" s="11">
        <v>322</v>
      </c>
      <c r="B253" s="11" t="s">
        <v>28</v>
      </c>
      <c r="C253" s="11" t="s">
        <v>140</v>
      </c>
      <c r="D253" s="11">
        <v>1</v>
      </c>
      <c r="E253" s="11" t="s">
        <v>4</v>
      </c>
      <c r="F253" s="12">
        <v>38300</v>
      </c>
      <c r="G253" s="12">
        <v>38300</v>
      </c>
      <c r="H253" s="11" t="str">
        <f t="shared" si="12"/>
        <v>平成4年12月5日</v>
      </c>
      <c r="I253" s="22">
        <f t="shared" si="11"/>
        <v>33943</v>
      </c>
      <c r="J253" s="1" t="str">
        <f>"00736979"</f>
        <v>00736979</v>
      </c>
      <c r="K253" s="1" t="str">
        <f>"３２３　　　　　　　　　　　　　　　　　"</f>
        <v>３２３　　　　　　　　　　　　　　　　　</v>
      </c>
      <c r="L253" s="1"/>
    </row>
    <row r="254" spans="1:12" ht="18" customHeight="1" x14ac:dyDescent="0.15">
      <c r="A254" s="11">
        <v>323</v>
      </c>
      <c r="B254" s="11" t="s">
        <v>28</v>
      </c>
      <c r="C254" s="11" t="s">
        <v>140</v>
      </c>
      <c r="D254" s="11">
        <v>1</v>
      </c>
      <c r="E254" s="11" t="s">
        <v>4</v>
      </c>
      <c r="F254" s="12">
        <v>38300</v>
      </c>
      <c r="G254" s="12">
        <v>38300</v>
      </c>
      <c r="H254" s="11" t="str">
        <f t="shared" si="12"/>
        <v>平成4年12月5日</v>
      </c>
      <c r="I254" s="22">
        <f t="shared" si="11"/>
        <v>33943</v>
      </c>
      <c r="J254" s="1" t="str">
        <f>"00736981"</f>
        <v>00736981</v>
      </c>
      <c r="K254" s="1" t="str">
        <f>"３２４　　　　　　　　　　　　　　　　　"</f>
        <v>３２４　　　　　　　　　　　　　　　　　</v>
      </c>
      <c r="L254" s="1"/>
    </row>
    <row r="255" spans="1:12" ht="18" customHeight="1" x14ac:dyDescent="0.15">
      <c r="A255" s="11">
        <v>324</v>
      </c>
      <c r="B255" s="11" t="s">
        <v>28</v>
      </c>
      <c r="C255" s="11" t="s">
        <v>140</v>
      </c>
      <c r="D255" s="11">
        <v>1</v>
      </c>
      <c r="E255" s="11" t="s">
        <v>4</v>
      </c>
      <c r="F255" s="12">
        <v>38300</v>
      </c>
      <c r="G255" s="12">
        <v>38300</v>
      </c>
      <c r="H255" s="11" t="str">
        <f t="shared" si="12"/>
        <v>平成4年12月5日</v>
      </c>
      <c r="I255" s="22">
        <f t="shared" si="11"/>
        <v>33943</v>
      </c>
      <c r="J255" s="1" t="str">
        <f>"00736983"</f>
        <v>00736983</v>
      </c>
      <c r="K255" s="1" t="str">
        <f>"３２５　　　　　　　　　　　　　　　　　"</f>
        <v>３２５　　　　　　　　　　　　　　　　　</v>
      </c>
      <c r="L255" s="1"/>
    </row>
    <row r="256" spans="1:12" ht="18" customHeight="1" x14ac:dyDescent="0.15">
      <c r="A256" s="11">
        <v>325</v>
      </c>
      <c r="B256" s="11" t="s">
        <v>28</v>
      </c>
      <c r="C256" s="11" t="s">
        <v>140</v>
      </c>
      <c r="D256" s="11">
        <v>1</v>
      </c>
      <c r="E256" s="11" t="s">
        <v>4</v>
      </c>
      <c r="F256" s="12">
        <v>38300</v>
      </c>
      <c r="G256" s="12">
        <v>38300</v>
      </c>
      <c r="H256" s="11" t="str">
        <f t="shared" si="12"/>
        <v>平成4年12月5日</v>
      </c>
      <c r="I256" s="22">
        <f t="shared" si="11"/>
        <v>33943</v>
      </c>
      <c r="J256" s="1" t="str">
        <f>"00736985"</f>
        <v>00736985</v>
      </c>
      <c r="K256" s="1" t="str">
        <f>"３２６　　　　　　　　　　　　　　　　　"</f>
        <v>３２６　　　　　　　　　　　　　　　　　</v>
      </c>
      <c r="L256" s="1"/>
    </row>
    <row r="257" spans="1:12" ht="18" customHeight="1" x14ac:dyDescent="0.15">
      <c r="A257" s="11">
        <v>326</v>
      </c>
      <c r="B257" s="11" t="s">
        <v>28</v>
      </c>
      <c r="C257" s="11" t="s">
        <v>140</v>
      </c>
      <c r="D257" s="11">
        <v>1</v>
      </c>
      <c r="E257" s="11" t="s">
        <v>4</v>
      </c>
      <c r="F257" s="12">
        <v>38300</v>
      </c>
      <c r="G257" s="12">
        <v>38300</v>
      </c>
      <c r="H257" s="11" t="str">
        <f t="shared" si="12"/>
        <v>平成4年12月5日</v>
      </c>
      <c r="I257" s="22">
        <f t="shared" si="11"/>
        <v>33943</v>
      </c>
      <c r="J257" s="1" t="str">
        <f>"00736987"</f>
        <v>00736987</v>
      </c>
      <c r="K257" s="1" t="str">
        <f>"３２７　　　　　　　　　　　　　　　　　"</f>
        <v>３２７　　　　　　　　　　　　　　　　　</v>
      </c>
      <c r="L257" s="1"/>
    </row>
    <row r="258" spans="1:12" ht="18" customHeight="1" x14ac:dyDescent="0.15">
      <c r="A258" s="11">
        <v>327</v>
      </c>
      <c r="B258" s="11" t="s">
        <v>28</v>
      </c>
      <c r="C258" s="11" t="s">
        <v>140</v>
      </c>
      <c r="D258" s="11">
        <v>1</v>
      </c>
      <c r="E258" s="11" t="s">
        <v>4</v>
      </c>
      <c r="F258" s="12">
        <v>38300</v>
      </c>
      <c r="G258" s="12">
        <v>38300</v>
      </c>
      <c r="H258" s="11" t="str">
        <f t="shared" si="12"/>
        <v>平成4年12月5日</v>
      </c>
      <c r="I258" s="22">
        <f t="shared" si="11"/>
        <v>33943</v>
      </c>
      <c r="J258" s="1" t="str">
        <f>"00736989"</f>
        <v>00736989</v>
      </c>
      <c r="K258" s="1" t="str">
        <f>"３２８　　　　　　　　　　　　　　　　　"</f>
        <v>３２８　　　　　　　　　　　　　　　　　</v>
      </c>
      <c r="L258" s="1"/>
    </row>
    <row r="259" spans="1:12" ht="18" customHeight="1" x14ac:dyDescent="0.15">
      <c r="A259" s="11">
        <v>328</v>
      </c>
      <c r="B259" s="11" t="s">
        <v>28</v>
      </c>
      <c r="C259" s="11" t="s">
        <v>140</v>
      </c>
      <c r="D259" s="11">
        <v>1</v>
      </c>
      <c r="E259" s="11" t="s">
        <v>4</v>
      </c>
      <c r="F259" s="12">
        <v>38300</v>
      </c>
      <c r="G259" s="12">
        <v>38300</v>
      </c>
      <c r="H259" s="11" t="str">
        <f t="shared" si="12"/>
        <v>平成4年12月5日</v>
      </c>
      <c r="I259" s="22">
        <f t="shared" si="11"/>
        <v>33943</v>
      </c>
      <c r="J259" s="1" t="str">
        <f>"00736991"</f>
        <v>00736991</v>
      </c>
      <c r="K259" s="1" t="str">
        <f>"３２９　　　　　　　　　　　　　　　　　"</f>
        <v>３２９　　　　　　　　　　　　　　　　　</v>
      </c>
      <c r="L259" s="1"/>
    </row>
    <row r="260" spans="1:12" ht="18" customHeight="1" x14ac:dyDescent="0.15">
      <c r="A260" s="11">
        <v>329</v>
      </c>
      <c r="B260" s="11" t="s">
        <v>28</v>
      </c>
      <c r="C260" s="11" t="s">
        <v>140</v>
      </c>
      <c r="D260" s="11">
        <v>1</v>
      </c>
      <c r="E260" s="11" t="s">
        <v>4</v>
      </c>
      <c r="F260" s="12">
        <v>38300</v>
      </c>
      <c r="G260" s="12">
        <v>38300</v>
      </c>
      <c r="H260" s="11" t="str">
        <f t="shared" si="12"/>
        <v>平成4年12月5日</v>
      </c>
      <c r="I260" s="22">
        <f t="shared" si="11"/>
        <v>33943</v>
      </c>
      <c r="J260" s="1" t="str">
        <f>"00736993"</f>
        <v>00736993</v>
      </c>
      <c r="K260" s="1" t="str">
        <f>"３３０　　　　　　　　　　　　　　　　　"</f>
        <v>３３０　　　　　　　　　　　　　　　　　</v>
      </c>
      <c r="L260" s="1"/>
    </row>
    <row r="261" spans="1:12" ht="18" customHeight="1" x14ac:dyDescent="0.15">
      <c r="A261" s="11">
        <v>330</v>
      </c>
      <c r="B261" s="11" t="s">
        <v>28</v>
      </c>
      <c r="C261" s="11" t="s">
        <v>140</v>
      </c>
      <c r="D261" s="11">
        <v>1</v>
      </c>
      <c r="E261" s="11" t="s">
        <v>4</v>
      </c>
      <c r="F261" s="12">
        <v>38300</v>
      </c>
      <c r="G261" s="12">
        <v>38300</v>
      </c>
      <c r="H261" s="11" t="str">
        <f t="shared" si="12"/>
        <v>平成4年12月5日</v>
      </c>
      <c r="I261" s="22">
        <f t="shared" si="11"/>
        <v>33943</v>
      </c>
      <c r="J261" s="1" t="str">
        <f>"00736995"</f>
        <v>00736995</v>
      </c>
      <c r="K261" s="1" t="str">
        <f>"３３１　　　　　　　　　　　　　　　　　"</f>
        <v>３３１　　　　　　　　　　　　　　　　　</v>
      </c>
      <c r="L261" s="1"/>
    </row>
    <row r="262" spans="1:12" ht="18" customHeight="1" x14ac:dyDescent="0.15">
      <c r="A262" s="11">
        <v>331</v>
      </c>
      <c r="B262" s="11" t="s">
        <v>28</v>
      </c>
      <c r="C262" s="11" t="s">
        <v>140</v>
      </c>
      <c r="D262" s="11">
        <v>1</v>
      </c>
      <c r="E262" s="11" t="s">
        <v>4</v>
      </c>
      <c r="F262" s="12">
        <v>38300</v>
      </c>
      <c r="G262" s="12">
        <v>38300</v>
      </c>
      <c r="H262" s="11" t="str">
        <f t="shared" si="12"/>
        <v>平成4年12月5日</v>
      </c>
      <c r="I262" s="22">
        <f t="shared" si="11"/>
        <v>33943</v>
      </c>
      <c r="J262" s="1" t="str">
        <f>"00736997"</f>
        <v>00736997</v>
      </c>
      <c r="K262" s="1" t="str">
        <f>"３３２　　　　　　　　　　　　　　　　　"</f>
        <v>３３２　　　　　　　　　　　　　　　　　</v>
      </c>
      <c r="L262" s="1"/>
    </row>
    <row r="263" spans="1:12" ht="18" customHeight="1" x14ac:dyDescent="0.15">
      <c r="A263" s="11">
        <v>332</v>
      </c>
      <c r="B263" s="11" t="s">
        <v>28</v>
      </c>
      <c r="C263" s="11" t="s">
        <v>140</v>
      </c>
      <c r="D263" s="11">
        <v>1</v>
      </c>
      <c r="E263" s="11" t="s">
        <v>4</v>
      </c>
      <c r="F263" s="12">
        <v>38300</v>
      </c>
      <c r="G263" s="12">
        <v>38300</v>
      </c>
      <c r="H263" s="11" t="str">
        <f t="shared" si="12"/>
        <v>平成4年12月5日</v>
      </c>
      <c r="I263" s="22">
        <f t="shared" si="11"/>
        <v>33943</v>
      </c>
      <c r="J263" s="1" t="str">
        <f>"00736999"</f>
        <v>00736999</v>
      </c>
      <c r="K263" s="1" t="str">
        <f>"３３３　　　　　　　　　　　　　　　　　"</f>
        <v>３３３　　　　　　　　　　　　　　　　　</v>
      </c>
      <c r="L263" s="1"/>
    </row>
    <row r="264" spans="1:12" ht="18" customHeight="1" x14ac:dyDescent="0.15">
      <c r="A264" s="11">
        <v>333</v>
      </c>
      <c r="B264" s="11" t="s">
        <v>28</v>
      </c>
      <c r="C264" s="11" t="s">
        <v>140</v>
      </c>
      <c r="D264" s="11">
        <v>1</v>
      </c>
      <c r="E264" s="11" t="s">
        <v>4</v>
      </c>
      <c r="F264" s="12">
        <v>38300</v>
      </c>
      <c r="G264" s="12">
        <v>38300</v>
      </c>
      <c r="H264" s="11" t="str">
        <f t="shared" si="12"/>
        <v>平成4年12月5日</v>
      </c>
      <c r="I264" s="22">
        <f t="shared" si="11"/>
        <v>33943</v>
      </c>
      <c r="J264" s="1" t="str">
        <f>"00737001"</f>
        <v>00737001</v>
      </c>
      <c r="K264" s="1" t="str">
        <f>"３３４　　　　　　　　　　　　　　　　　"</f>
        <v>３３４　　　　　　　　　　　　　　　　　</v>
      </c>
      <c r="L264" s="1"/>
    </row>
    <row r="265" spans="1:12" ht="18" customHeight="1" x14ac:dyDescent="0.15">
      <c r="A265" s="11">
        <v>334</v>
      </c>
      <c r="B265" s="11" t="s">
        <v>28</v>
      </c>
      <c r="C265" s="11" t="s">
        <v>140</v>
      </c>
      <c r="D265" s="11">
        <v>1</v>
      </c>
      <c r="E265" s="11" t="s">
        <v>4</v>
      </c>
      <c r="F265" s="12">
        <v>38300</v>
      </c>
      <c r="G265" s="12">
        <v>38300</v>
      </c>
      <c r="H265" s="11" t="str">
        <f t="shared" si="12"/>
        <v>平成4年12月5日</v>
      </c>
      <c r="I265" s="22">
        <f t="shared" si="11"/>
        <v>33943</v>
      </c>
      <c r="J265" s="1" t="str">
        <f>"00737003"</f>
        <v>00737003</v>
      </c>
      <c r="K265" s="1" t="str">
        <f>"３３５　　　　　　　　　　　　　　　　　"</f>
        <v>３３５　　　　　　　　　　　　　　　　　</v>
      </c>
      <c r="L265" s="1"/>
    </row>
    <row r="266" spans="1:12" ht="18" customHeight="1" x14ac:dyDescent="0.15">
      <c r="A266" s="11">
        <v>335</v>
      </c>
      <c r="B266" s="11" t="s">
        <v>28</v>
      </c>
      <c r="C266" s="11" t="s">
        <v>140</v>
      </c>
      <c r="D266" s="11">
        <v>1</v>
      </c>
      <c r="E266" s="11" t="s">
        <v>4</v>
      </c>
      <c r="F266" s="12">
        <v>38300</v>
      </c>
      <c r="G266" s="12">
        <v>38300</v>
      </c>
      <c r="H266" s="11" t="str">
        <f t="shared" si="12"/>
        <v>平成4年12月5日</v>
      </c>
      <c r="I266" s="22">
        <f t="shared" si="11"/>
        <v>33943</v>
      </c>
      <c r="J266" s="1" t="str">
        <f>"00737005"</f>
        <v>00737005</v>
      </c>
      <c r="K266" s="1" t="str">
        <f>"３３６　　　　　　　　　　　　　　　　　"</f>
        <v>３３６　　　　　　　　　　　　　　　　　</v>
      </c>
      <c r="L266" s="1"/>
    </row>
    <row r="267" spans="1:12" ht="18" customHeight="1" x14ac:dyDescent="0.15">
      <c r="A267" s="11">
        <v>336</v>
      </c>
      <c r="B267" s="11" t="s">
        <v>28</v>
      </c>
      <c r="C267" s="11" t="s">
        <v>140</v>
      </c>
      <c r="D267" s="11">
        <v>1</v>
      </c>
      <c r="E267" s="11" t="s">
        <v>4</v>
      </c>
      <c r="F267" s="12">
        <v>38300</v>
      </c>
      <c r="G267" s="12">
        <v>38300</v>
      </c>
      <c r="H267" s="11" t="str">
        <f t="shared" si="12"/>
        <v>平成4年12月5日</v>
      </c>
      <c r="I267" s="22">
        <f t="shared" si="11"/>
        <v>33943</v>
      </c>
      <c r="J267" s="1" t="str">
        <f>"00737007"</f>
        <v>00737007</v>
      </c>
      <c r="K267" s="1" t="str">
        <f>"３３７　　　　　　　　　　　　　　　　　"</f>
        <v>３３７　　　　　　　　　　　　　　　　　</v>
      </c>
      <c r="L267" s="1"/>
    </row>
    <row r="268" spans="1:12" ht="18" customHeight="1" x14ac:dyDescent="0.15">
      <c r="A268" s="11">
        <v>337</v>
      </c>
      <c r="B268" s="11" t="s">
        <v>28</v>
      </c>
      <c r="C268" s="11" t="s">
        <v>140</v>
      </c>
      <c r="D268" s="11">
        <v>1</v>
      </c>
      <c r="E268" s="11" t="s">
        <v>4</v>
      </c>
      <c r="F268" s="12">
        <v>38300</v>
      </c>
      <c r="G268" s="12">
        <v>38300</v>
      </c>
      <c r="H268" s="11" t="str">
        <f t="shared" si="12"/>
        <v>平成4年12月5日</v>
      </c>
      <c r="I268" s="22">
        <f t="shared" si="11"/>
        <v>33943</v>
      </c>
      <c r="J268" s="1" t="str">
        <f>"00737009"</f>
        <v>00737009</v>
      </c>
      <c r="K268" s="1" t="str">
        <f>"３３８　　　　　　　　　　　　　　　　　"</f>
        <v>３３８　　　　　　　　　　　　　　　　　</v>
      </c>
      <c r="L268" s="1"/>
    </row>
    <row r="269" spans="1:12" ht="18" customHeight="1" x14ac:dyDescent="0.15">
      <c r="A269" s="11">
        <v>338</v>
      </c>
      <c r="B269" s="11" t="s">
        <v>28</v>
      </c>
      <c r="C269" s="11" t="s">
        <v>140</v>
      </c>
      <c r="D269" s="11">
        <v>1</v>
      </c>
      <c r="E269" s="11" t="s">
        <v>4</v>
      </c>
      <c r="F269" s="12">
        <v>38300</v>
      </c>
      <c r="G269" s="12">
        <v>38300</v>
      </c>
      <c r="H269" s="11" t="str">
        <f t="shared" si="12"/>
        <v>平成4年12月5日</v>
      </c>
      <c r="I269" s="22">
        <f t="shared" si="11"/>
        <v>33943</v>
      </c>
      <c r="J269" s="1" t="str">
        <f>"00737011"</f>
        <v>00737011</v>
      </c>
      <c r="K269" s="1" t="str">
        <f>"３３９　　　　　　　　　　　　　　　　　"</f>
        <v>３３９　　　　　　　　　　　　　　　　　</v>
      </c>
      <c r="L269" s="1"/>
    </row>
    <row r="270" spans="1:12" ht="18" customHeight="1" x14ac:dyDescent="0.15">
      <c r="A270" s="11">
        <v>339</v>
      </c>
      <c r="B270" s="11" t="s">
        <v>28</v>
      </c>
      <c r="C270" s="11" t="s">
        <v>140</v>
      </c>
      <c r="D270" s="11">
        <v>1</v>
      </c>
      <c r="E270" s="11" t="s">
        <v>4</v>
      </c>
      <c r="F270" s="12">
        <v>38300</v>
      </c>
      <c r="G270" s="12">
        <v>38300</v>
      </c>
      <c r="H270" s="11" t="str">
        <f t="shared" si="12"/>
        <v>平成4年12月5日</v>
      </c>
      <c r="I270" s="22">
        <f t="shared" si="11"/>
        <v>33943</v>
      </c>
      <c r="J270" s="1" t="str">
        <f>"00737013"</f>
        <v>00737013</v>
      </c>
      <c r="K270" s="1" t="str">
        <f>"３４０　　　　　　　　　　　　　　　　　"</f>
        <v>３４０　　　　　　　　　　　　　　　　　</v>
      </c>
      <c r="L270" s="1"/>
    </row>
    <row r="271" spans="1:12" ht="18" customHeight="1" x14ac:dyDescent="0.15">
      <c r="A271" s="11">
        <v>340</v>
      </c>
      <c r="B271" s="11" t="s">
        <v>28</v>
      </c>
      <c r="C271" s="11" t="s">
        <v>140</v>
      </c>
      <c r="D271" s="11">
        <v>1</v>
      </c>
      <c r="E271" s="11" t="s">
        <v>4</v>
      </c>
      <c r="F271" s="12">
        <v>38300</v>
      </c>
      <c r="G271" s="12">
        <v>38300</v>
      </c>
      <c r="H271" s="11" t="str">
        <f t="shared" si="12"/>
        <v>平成4年12月5日</v>
      </c>
      <c r="I271" s="22">
        <f t="shared" si="11"/>
        <v>33943</v>
      </c>
      <c r="J271" s="1" t="str">
        <f>"00737015"</f>
        <v>00737015</v>
      </c>
      <c r="K271" s="1" t="str">
        <f>"３４１　　　　　　　　　　　　　　　　　"</f>
        <v>３４１　　　　　　　　　　　　　　　　　</v>
      </c>
      <c r="L271" s="1"/>
    </row>
    <row r="272" spans="1:12" ht="18" customHeight="1" x14ac:dyDescent="0.15">
      <c r="A272" s="11">
        <v>341</v>
      </c>
      <c r="B272" s="11" t="s">
        <v>28</v>
      </c>
      <c r="C272" s="11" t="s">
        <v>140</v>
      </c>
      <c r="D272" s="11">
        <v>1</v>
      </c>
      <c r="E272" s="11" t="s">
        <v>4</v>
      </c>
      <c r="F272" s="12">
        <v>38300</v>
      </c>
      <c r="G272" s="12">
        <v>38300</v>
      </c>
      <c r="H272" s="11" t="str">
        <f t="shared" si="12"/>
        <v>平成4年12月5日</v>
      </c>
      <c r="I272" s="22">
        <f t="shared" si="11"/>
        <v>33943</v>
      </c>
      <c r="J272" s="1" t="str">
        <f>"00737017"</f>
        <v>00737017</v>
      </c>
      <c r="K272" s="1" t="str">
        <f>"３４２　　　　　　　　　　　　　　　　　"</f>
        <v>３４２　　　　　　　　　　　　　　　　　</v>
      </c>
      <c r="L272" s="1"/>
    </row>
    <row r="273" spans="1:12" ht="18" customHeight="1" x14ac:dyDescent="0.15">
      <c r="A273" s="11">
        <v>342</v>
      </c>
      <c r="B273" s="11" t="s">
        <v>28</v>
      </c>
      <c r="C273" s="11" t="s">
        <v>140</v>
      </c>
      <c r="D273" s="11">
        <v>1</v>
      </c>
      <c r="E273" s="11" t="s">
        <v>4</v>
      </c>
      <c r="F273" s="12">
        <v>38300</v>
      </c>
      <c r="G273" s="12">
        <v>38300</v>
      </c>
      <c r="H273" s="11" t="str">
        <f t="shared" si="12"/>
        <v>平成4年12月5日</v>
      </c>
      <c r="I273" s="22">
        <f t="shared" si="11"/>
        <v>33943</v>
      </c>
      <c r="J273" s="1" t="str">
        <f>"00737019"</f>
        <v>00737019</v>
      </c>
      <c r="K273" s="1" t="str">
        <f>"３４３　　　　　　　　　　　　　　　　　"</f>
        <v>３４３　　　　　　　　　　　　　　　　　</v>
      </c>
      <c r="L273" s="1"/>
    </row>
    <row r="274" spans="1:12" ht="18" customHeight="1" x14ac:dyDescent="0.15">
      <c r="A274" s="11">
        <v>343</v>
      </c>
      <c r="B274" s="11" t="s">
        <v>28</v>
      </c>
      <c r="C274" s="11" t="s">
        <v>140</v>
      </c>
      <c r="D274" s="11">
        <v>1</v>
      </c>
      <c r="E274" s="11" t="s">
        <v>4</v>
      </c>
      <c r="F274" s="12">
        <v>38300</v>
      </c>
      <c r="G274" s="12">
        <v>38300</v>
      </c>
      <c r="H274" s="11" t="str">
        <f t="shared" si="12"/>
        <v>平成4年12月5日</v>
      </c>
      <c r="I274" s="22">
        <f t="shared" ref="I274:I337" si="13">DATEVALUE(H274)</f>
        <v>33943</v>
      </c>
      <c r="J274" s="1" t="str">
        <f>"00737021"</f>
        <v>00737021</v>
      </c>
      <c r="K274" s="1" t="str">
        <f>"３４４　　　　　　　　　　　　　　　　　"</f>
        <v>３４４　　　　　　　　　　　　　　　　　</v>
      </c>
      <c r="L274" s="1"/>
    </row>
    <row r="275" spans="1:12" ht="18" customHeight="1" x14ac:dyDescent="0.15">
      <c r="A275" s="11">
        <v>344</v>
      </c>
      <c r="B275" s="11" t="s">
        <v>28</v>
      </c>
      <c r="C275" s="11" t="s">
        <v>140</v>
      </c>
      <c r="D275" s="11">
        <v>1</v>
      </c>
      <c r="E275" s="11" t="s">
        <v>4</v>
      </c>
      <c r="F275" s="12">
        <v>38300</v>
      </c>
      <c r="G275" s="12">
        <v>38300</v>
      </c>
      <c r="H275" s="11" t="str">
        <f t="shared" si="12"/>
        <v>平成4年12月5日</v>
      </c>
      <c r="I275" s="22">
        <f t="shared" si="13"/>
        <v>33943</v>
      </c>
      <c r="J275" s="1" t="str">
        <f>"00737023"</f>
        <v>00737023</v>
      </c>
      <c r="K275" s="1" t="str">
        <f>"３４５　　　　　　　　　　　　　　　　　"</f>
        <v>３４５　　　　　　　　　　　　　　　　　</v>
      </c>
      <c r="L275" s="1"/>
    </row>
    <row r="276" spans="1:12" ht="18" customHeight="1" x14ac:dyDescent="0.15">
      <c r="A276" s="11">
        <v>345</v>
      </c>
      <c r="B276" s="11" t="s">
        <v>28</v>
      </c>
      <c r="C276" s="11" t="s">
        <v>140</v>
      </c>
      <c r="D276" s="11">
        <v>1</v>
      </c>
      <c r="E276" s="11" t="s">
        <v>4</v>
      </c>
      <c r="F276" s="12">
        <v>38300</v>
      </c>
      <c r="G276" s="12">
        <v>38300</v>
      </c>
      <c r="H276" s="11" t="str">
        <f t="shared" si="12"/>
        <v>平成4年12月5日</v>
      </c>
      <c r="I276" s="22">
        <f t="shared" si="13"/>
        <v>33943</v>
      </c>
      <c r="J276" s="1" t="str">
        <f>"00737025"</f>
        <v>00737025</v>
      </c>
      <c r="K276" s="1" t="str">
        <f>"３４６　　　　　　　　　　　　　　　　　"</f>
        <v>３４６　　　　　　　　　　　　　　　　　</v>
      </c>
      <c r="L276" s="1"/>
    </row>
    <row r="277" spans="1:12" ht="18" customHeight="1" x14ac:dyDescent="0.15">
      <c r="A277" s="11">
        <v>346</v>
      </c>
      <c r="B277" s="11" t="s">
        <v>28</v>
      </c>
      <c r="C277" s="11" t="s">
        <v>140</v>
      </c>
      <c r="D277" s="11">
        <v>1</v>
      </c>
      <c r="E277" s="11" t="s">
        <v>4</v>
      </c>
      <c r="F277" s="12">
        <v>38300</v>
      </c>
      <c r="G277" s="12">
        <v>38300</v>
      </c>
      <c r="H277" s="11" t="str">
        <f t="shared" si="12"/>
        <v>平成4年12月5日</v>
      </c>
      <c r="I277" s="22">
        <f t="shared" si="13"/>
        <v>33943</v>
      </c>
      <c r="J277" s="1" t="str">
        <f>"00737027"</f>
        <v>00737027</v>
      </c>
      <c r="K277" s="1" t="str">
        <f>"３４７　　　　　　　　　　　　　　　　　"</f>
        <v>３４７　　　　　　　　　　　　　　　　　</v>
      </c>
      <c r="L277" s="1"/>
    </row>
    <row r="278" spans="1:12" ht="18" customHeight="1" x14ac:dyDescent="0.15">
      <c r="A278" s="11">
        <v>347</v>
      </c>
      <c r="B278" s="11" t="s">
        <v>28</v>
      </c>
      <c r="C278" s="11" t="s">
        <v>140</v>
      </c>
      <c r="D278" s="11">
        <v>1</v>
      </c>
      <c r="E278" s="11" t="s">
        <v>4</v>
      </c>
      <c r="F278" s="12">
        <v>38300</v>
      </c>
      <c r="G278" s="12">
        <v>38300</v>
      </c>
      <c r="H278" s="11" t="str">
        <f t="shared" si="12"/>
        <v>平成4年12月5日</v>
      </c>
      <c r="I278" s="22">
        <f t="shared" si="13"/>
        <v>33943</v>
      </c>
      <c r="J278" s="1" t="str">
        <f>"00737028"</f>
        <v>00737028</v>
      </c>
      <c r="K278" s="1" t="str">
        <f>"３４８　　　　　　　　　　　　　　　　　"</f>
        <v>３４８　　　　　　　　　　　　　　　　　</v>
      </c>
      <c r="L278" s="1"/>
    </row>
    <row r="279" spans="1:12" ht="18" customHeight="1" x14ac:dyDescent="0.15">
      <c r="A279" s="11">
        <v>348</v>
      </c>
      <c r="B279" s="11" t="s">
        <v>28</v>
      </c>
      <c r="C279" s="11" t="s">
        <v>140</v>
      </c>
      <c r="D279" s="11">
        <v>1</v>
      </c>
      <c r="E279" s="11" t="s">
        <v>4</v>
      </c>
      <c r="F279" s="12">
        <v>38300</v>
      </c>
      <c r="G279" s="12">
        <v>38300</v>
      </c>
      <c r="H279" s="11" t="str">
        <f t="shared" si="12"/>
        <v>平成4年12月5日</v>
      </c>
      <c r="I279" s="22">
        <f t="shared" si="13"/>
        <v>33943</v>
      </c>
      <c r="J279" s="1" t="str">
        <f>"00737030"</f>
        <v>00737030</v>
      </c>
      <c r="K279" s="1" t="str">
        <f>"３４９　　　　　　　　　　　　　　　　　"</f>
        <v>３４９　　　　　　　　　　　　　　　　　</v>
      </c>
      <c r="L279" s="1"/>
    </row>
    <row r="280" spans="1:12" ht="18" customHeight="1" x14ac:dyDescent="0.15">
      <c r="A280" s="11">
        <v>349</v>
      </c>
      <c r="B280" s="11" t="s">
        <v>28</v>
      </c>
      <c r="C280" s="11" t="s">
        <v>140</v>
      </c>
      <c r="D280" s="11">
        <v>1</v>
      </c>
      <c r="E280" s="11" t="s">
        <v>4</v>
      </c>
      <c r="F280" s="12">
        <v>38300</v>
      </c>
      <c r="G280" s="12">
        <v>38300</v>
      </c>
      <c r="H280" s="11" t="str">
        <f t="shared" si="12"/>
        <v>平成4年12月5日</v>
      </c>
      <c r="I280" s="22">
        <f t="shared" si="13"/>
        <v>33943</v>
      </c>
      <c r="J280" s="1" t="str">
        <f>"00737032"</f>
        <v>00737032</v>
      </c>
      <c r="K280" s="1" t="str">
        <f>"３５０　　　　　　　　　　　　　　　　　"</f>
        <v>３５０　　　　　　　　　　　　　　　　　</v>
      </c>
      <c r="L280" s="1"/>
    </row>
    <row r="281" spans="1:12" ht="18" customHeight="1" x14ac:dyDescent="0.15">
      <c r="A281" s="11">
        <v>350</v>
      </c>
      <c r="B281" s="11" t="s">
        <v>28</v>
      </c>
      <c r="C281" s="11" t="s">
        <v>140</v>
      </c>
      <c r="D281" s="11">
        <v>1</v>
      </c>
      <c r="E281" s="11" t="s">
        <v>4</v>
      </c>
      <c r="F281" s="12">
        <v>38300</v>
      </c>
      <c r="G281" s="12">
        <v>38300</v>
      </c>
      <c r="H281" s="11" t="str">
        <f t="shared" si="12"/>
        <v>平成4年12月5日</v>
      </c>
      <c r="I281" s="22">
        <f t="shared" si="13"/>
        <v>33943</v>
      </c>
      <c r="J281" s="1" t="str">
        <f>"00737034"</f>
        <v>00737034</v>
      </c>
      <c r="K281" s="1" t="str">
        <f>"３５１　　　　　　　　　　　　　　　　　"</f>
        <v>３５１　　　　　　　　　　　　　　　　　</v>
      </c>
      <c r="L281" s="1"/>
    </row>
    <row r="282" spans="1:12" ht="18" customHeight="1" x14ac:dyDescent="0.15">
      <c r="A282" s="11">
        <v>351</v>
      </c>
      <c r="B282" s="11" t="s">
        <v>28</v>
      </c>
      <c r="C282" s="11" t="s">
        <v>140</v>
      </c>
      <c r="D282" s="11">
        <v>1</v>
      </c>
      <c r="E282" s="11" t="s">
        <v>4</v>
      </c>
      <c r="F282" s="12">
        <v>38300</v>
      </c>
      <c r="G282" s="12">
        <v>38300</v>
      </c>
      <c r="H282" s="11" t="str">
        <f t="shared" si="12"/>
        <v>平成4年12月5日</v>
      </c>
      <c r="I282" s="22">
        <f t="shared" si="13"/>
        <v>33943</v>
      </c>
      <c r="J282" s="1" t="str">
        <f>"00737036"</f>
        <v>00737036</v>
      </c>
      <c r="K282" s="1" t="str">
        <f>"３５２　　　　　　　　　　　　　　　　　"</f>
        <v>３５２　　　　　　　　　　　　　　　　　</v>
      </c>
      <c r="L282" s="1"/>
    </row>
    <row r="283" spans="1:12" ht="18" customHeight="1" x14ac:dyDescent="0.15">
      <c r="A283" s="11">
        <v>352</v>
      </c>
      <c r="B283" s="11" t="s">
        <v>28</v>
      </c>
      <c r="C283" s="11" t="s">
        <v>140</v>
      </c>
      <c r="D283" s="11">
        <v>1</v>
      </c>
      <c r="E283" s="11" t="s">
        <v>4</v>
      </c>
      <c r="F283" s="12">
        <v>38300</v>
      </c>
      <c r="G283" s="12">
        <v>38300</v>
      </c>
      <c r="H283" s="11" t="str">
        <f t="shared" si="12"/>
        <v>平成4年12月5日</v>
      </c>
      <c r="I283" s="22">
        <f t="shared" si="13"/>
        <v>33943</v>
      </c>
      <c r="J283" s="1" t="str">
        <f>"00737038"</f>
        <v>00737038</v>
      </c>
      <c r="K283" s="1" t="str">
        <f>"３５３　　　　　　　　　　　　　　　　　"</f>
        <v>３５３　　　　　　　　　　　　　　　　　</v>
      </c>
      <c r="L283" s="1"/>
    </row>
    <row r="284" spans="1:12" ht="18" customHeight="1" x14ac:dyDescent="0.15">
      <c r="A284" s="11">
        <v>353</v>
      </c>
      <c r="B284" s="11" t="s">
        <v>28</v>
      </c>
      <c r="C284" s="11" t="s">
        <v>140</v>
      </c>
      <c r="D284" s="11">
        <v>1</v>
      </c>
      <c r="E284" s="11" t="s">
        <v>4</v>
      </c>
      <c r="F284" s="12">
        <v>38300</v>
      </c>
      <c r="G284" s="12">
        <v>38300</v>
      </c>
      <c r="H284" s="11" t="str">
        <f t="shared" si="12"/>
        <v>平成4年12月5日</v>
      </c>
      <c r="I284" s="22">
        <f t="shared" si="13"/>
        <v>33943</v>
      </c>
      <c r="J284" s="1" t="str">
        <f>"00737040"</f>
        <v>00737040</v>
      </c>
      <c r="K284" s="1" t="str">
        <f>"３５４　　　　　　　　　　　　　　　　　"</f>
        <v>３５４　　　　　　　　　　　　　　　　　</v>
      </c>
      <c r="L284" s="1"/>
    </row>
    <row r="285" spans="1:12" ht="18" customHeight="1" x14ac:dyDescent="0.15">
      <c r="A285" s="11">
        <v>354</v>
      </c>
      <c r="B285" s="11" t="s">
        <v>28</v>
      </c>
      <c r="C285" s="11" t="s">
        <v>140</v>
      </c>
      <c r="D285" s="11">
        <v>1</v>
      </c>
      <c r="E285" s="11" t="s">
        <v>4</v>
      </c>
      <c r="F285" s="12">
        <v>38300</v>
      </c>
      <c r="G285" s="12">
        <v>38300</v>
      </c>
      <c r="H285" s="11" t="str">
        <f t="shared" si="12"/>
        <v>平成4年12月5日</v>
      </c>
      <c r="I285" s="22">
        <f t="shared" si="13"/>
        <v>33943</v>
      </c>
      <c r="J285" s="1" t="str">
        <f>"00737042"</f>
        <v>00737042</v>
      </c>
      <c r="K285" s="1" t="str">
        <f>"３５５　　　　　　　　　　　　　　　　　"</f>
        <v>３５５　　　　　　　　　　　　　　　　　</v>
      </c>
      <c r="L285" s="1"/>
    </row>
    <row r="286" spans="1:12" ht="18" customHeight="1" x14ac:dyDescent="0.15">
      <c r="A286" s="11">
        <v>355</v>
      </c>
      <c r="B286" s="11" t="s">
        <v>28</v>
      </c>
      <c r="C286" s="11" t="s">
        <v>140</v>
      </c>
      <c r="D286" s="11">
        <v>1</v>
      </c>
      <c r="E286" s="11" t="s">
        <v>4</v>
      </c>
      <c r="F286" s="12">
        <v>38300</v>
      </c>
      <c r="G286" s="12">
        <v>38300</v>
      </c>
      <c r="H286" s="11" t="str">
        <f t="shared" si="12"/>
        <v>平成4年12月5日</v>
      </c>
      <c r="I286" s="22">
        <f t="shared" si="13"/>
        <v>33943</v>
      </c>
      <c r="J286" s="1" t="str">
        <f>"00737044"</f>
        <v>00737044</v>
      </c>
      <c r="K286" s="1" t="str">
        <f>"３５６　　　　　　　　　　　　　　　　　"</f>
        <v>３５６　　　　　　　　　　　　　　　　　</v>
      </c>
      <c r="L286" s="1"/>
    </row>
    <row r="287" spans="1:12" ht="18" customHeight="1" x14ac:dyDescent="0.15">
      <c r="A287" s="11">
        <v>356</v>
      </c>
      <c r="B287" s="11" t="s">
        <v>28</v>
      </c>
      <c r="C287" s="11" t="s">
        <v>140</v>
      </c>
      <c r="D287" s="11">
        <v>1</v>
      </c>
      <c r="E287" s="11" t="s">
        <v>4</v>
      </c>
      <c r="F287" s="12">
        <v>38300</v>
      </c>
      <c r="G287" s="12">
        <v>38300</v>
      </c>
      <c r="H287" s="11" t="str">
        <f t="shared" si="12"/>
        <v>平成4年12月5日</v>
      </c>
      <c r="I287" s="22">
        <f t="shared" si="13"/>
        <v>33943</v>
      </c>
      <c r="J287" s="1" t="str">
        <f>"00737046"</f>
        <v>00737046</v>
      </c>
      <c r="K287" s="1" t="str">
        <f>"３５７　　　　　　　　　　　　　　　　　"</f>
        <v>３５７　　　　　　　　　　　　　　　　　</v>
      </c>
      <c r="L287" s="1"/>
    </row>
    <row r="288" spans="1:12" ht="18" customHeight="1" x14ac:dyDescent="0.15">
      <c r="A288" s="11">
        <v>357</v>
      </c>
      <c r="B288" s="11" t="s">
        <v>28</v>
      </c>
      <c r="C288" s="11" t="s">
        <v>140</v>
      </c>
      <c r="D288" s="11">
        <v>1</v>
      </c>
      <c r="E288" s="11" t="s">
        <v>4</v>
      </c>
      <c r="F288" s="12">
        <v>38300</v>
      </c>
      <c r="G288" s="12">
        <v>38300</v>
      </c>
      <c r="H288" s="11" t="str">
        <f t="shared" si="12"/>
        <v>平成4年12月5日</v>
      </c>
      <c r="I288" s="22">
        <f t="shared" si="13"/>
        <v>33943</v>
      </c>
      <c r="J288" s="1" t="str">
        <f>"00737048"</f>
        <v>00737048</v>
      </c>
      <c r="K288" s="1" t="str">
        <f>"３５９　　　　　　　　　　　　　　　　　"</f>
        <v>３５９　　　　　　　　　　　　　　　　　</v>
      </c>
      <c r="L288" s="1"/>
    </row>
    <row r="289" spans="1:12" ht="18" customHeight="1" x14ac:dyDescent="0.15">
      <c r="A289" s="11">
        <v>358</v>
      </c>
      <c r="B289" s="11" t="s">
        <v>28</v>
      </c>
      <c r="C289" s="11" t="s">
        <v>140</v>
      </c>
      <c r="D289" s="11">
        <v>1</v>
      </c>
      <c r="E289" s="11" t="s">
        <v>4</v>
      </c>
      <c r="F289" s="12">
        <v>38300</v>
      </c>
      <c r="G289" s="12">
        <v>38300</v>
      </c>
      <c r="H289" s="11" t="str">
        <f t="shared" si="12"/>
        <v>平成4年12月5日</v>
      </c>
      <c r="I289" s="22">
        <f t="shared" si="13"/>
        <v>33943</v>
      </c>
      <c r="J289" s="1" t="str">
        <f>"00737050"</f>
        <v>00737050</v>
      </c>
      <c r="K289" s="1" t="str">
        <f>"３６０　　　　　　　　　　　　　　　　　"</f>
        <v>３６０　　　　　　　　　　　　　　　　　</v>
      </c>
      <c r="L289" s="1"/>
    </row>
    <row r="290" spans="1:12" ht="18" customHeight="1" x14ac:dyDescent="0.15">
      <c r="A290" s="11">
        <v>359</v>
      </c>
      <c r="B290" s="11" t="s">
        <v>28</v>
      </c>
      <c r="C290" s="11" t="s">
        <v>140</v>
      </c>
      <c r="D290" s="11">
        <v>1</v>
      </c>
      <c r="E290" s="11" t="s">
        <v>4</v>
      </c>
      <c r="F290" s="12">
        <v>38300</v>
      </c>
      <c r="G290" s="12">
        <v>38300</v>
      </c>
      <c r="H290" s="11" t="str">
        <f t="shared" si="12"/>
        <v>平成4年12月5日</v>
      </c>
      <c r="I290" s="22">
        <f t="shared" si="13"/>
        <v>33943</v>
      </c>
      <c r="J290" s="1" t="str">
        <f>"00737052"</f>
        <v>00737052</v>
      </c>
      <c r="K290" s="1" t="str">
        <f>"３６１　　　　　　　　　　　　　　　　　"</f>
        <v>３６１　　　　　　　　　　　　　　　　　</v>
      </c>
      <c r="L290" s="1"/>
    </row>
    <row r="291" spans="1:12" ht="18" customHeight="1" x14ac:dyDescent="0.15">
      <c r="A291" s="11">
        <v>360</v>
      </c>
      <c r="B291" s="11" t="s">
        <v>28</v>
      </c>
      <c r="C291" s="11" t="s">
        <v>140</v>
      </c>
      <c r="D291" s="11">
        <v>1</v>
      </c>
      <c r="E291" s="11" t="s">
        <v>4</v>
      </c>
      <c r="F291" s="12">
        <v>38300</v>
      </c>
      <c r="G291" s="12">
        <v>38300</v>
      </c>
      <c r="H291" s="11" t="str">
        <f t="shared" si="12"/>
        <v>平成4年12月5日</v>
      </c>
      <c r="I291" s="22">
        <f t="shared" si="13"/>
        <v>33943</v>
      </c>
      <c r="J291" s="1" t="str">
        <f>"00737054"</f>
        <v>00737054</v>
      </c>
      <c r="K291" s="1" t="str">
        <f>"３６２　　　　　　　　　　　　　　　　　"</f>
        <v>３６２　　　　　　　　　　　　　　　　　</v>
      </c>
      <c r="L291" s="1"/>
    </row>
    <row r="292" spans="1:12" ht="18" customHeight="1" x14ac:dyDescent="0.15">
      <c r="A292" s="11">
        <v>361</v>
      </c>
      <c r="B292" s="11" t="s">
        <v>28</v>
      </c>
      <c r="C292" s="11" t="s">
        <v>140</v>
      </c>
      <c r="D292" s="11">
        <v>1</v>
      </c>
      <c r="E292" s="11" t="s">
        <v>4</v>
      </c>
      <c r="F292" s="12">
        <v>38300</v>
      </c>
      <c r="G292" s="12">
        <v>38300</v>
      </c>
      <c r="H292" s="11" t="str">
        <f t="shared" si="12"/>
        <v>平成4年12月5日</v>
      </c>
      <c r="I292" s="22">
        <f t="shared" si="13"/>
        <v>33943</v>
      </c>
      <c r="J292" s="1" t="str">
        <f>"00737057"</f>
        <v>00737057</v>
      </c>
      <c r="K292" s="1" t="str">
        <f>"３６３　　　　　　　　　　　　　　　　　"</f>
        <v>３６３　　　　　　　　　　　　　　　　　</v>
      </c>
      <c r="L292" s="1"/>
    </row>
    <row r="293" spans="1:12" ht="18" customHeight="1" x14ac:dyDescent="0.15">
      <c r="A293" s="11">
        <v>362</v>
      </c>
      <c r="B293" s="11" t="s">
        <v>28</v>
      </c>
      <c r="C293" s="11" t="s">
        <v>140</v>
      </c>
      <c r="D293" s="11">
        <v>1</v>
      </c>
      <c r="E293" s="11" t="s">
        <v>4</v>
      </c>
      <c r="F293" s="12">
        <v>38300</v>
      </c>
      <c r="G293" s="12">
        <v>38300</v>
      </c>
      <c r="H293" s="11" t="str">
        <f t="shared" si="12"/>
        <v>平成4年12月5日</v>
      </c>
      <c r="I293" s="22">
        <f t="shared" si="13"/>
        <v>33943</v>
      </c>
      <c r="J293" s="1" t="str">
        <f>"00737059"</f>
        <v>00737059</v>
      </c>
      <c r="K293" s="1" t="str">
        <f>"３６４　　　　　　　　　　　　　　　　　"</f>
        <v>３６４　　　　　　　　　　　　　　　　　</v>
      </c>
      <c r="L293" s="1"/>
    </row>
    <row r="294" spans="1:12" ht="18" customHeight="1" x14ac:dyDescent="0.15">
      <c r="A294" s="11">
        <v>363</v>
      </c>
      <c r="B294" s="11" t="s">
        <v>28</v>
      </c>
      <c r="C294" s="11" t="s">
        <v>140</v>
      </c>
      <c r="D294" s="11">
        <v>1</v>
      </c>
      <c r="E294" s="11" t="s">
        <v>4</v>
      </c>
      <c r="F294" s="12">
        <v>38300</v>
      </c>
      <c r="G294" s="12">
        <v>38300</v>
      </c>
      <c r="H294" s="11" t="str">
        <f t="shared" si="12"/>
        <v>平成4年12月5日</v>
      </c>
      <c r="I294" s="22">
        <f t="shared" si="13"/>
        <v>33943</v>
      </c>
      <c r="J294" s="1" t="str">
        <f>"00737061"</f>
        <v>00737061</v>
      </c>
      <c r="K294" s="1" t="str">
        <f>"３６５　　　　　　　　　　　　　　　　　"</f>
        <v>３６５　　　　　　　　　　　　　　　　　</v>
      </c>
      <c r="L294" s="1"/>
    </row>
    <row r="295" spans="1:12" ht="18" customHeight="1" x14ac:dyDescent="0.15">
      <c r="A295" s="11">
        <v>364</v>
      </c>
      <c r="B295" s="11" t="s">
        <v>28</v>
      </c>
      <c r="C295" s="11" t="s">
        <v>140</v>
      </c>
      <c r="D295" s="11">
        <v>1</v>
      </c>
      <c r="E295" s="11" t="s">
        <v>4</v>
      </c>
      <c r="F295" s="12">
        <v>38300</v>
      </c>
      <c r="G295" s="12">
        <v>38300</v>
      </c>
      <c r="H295" s="11" t="str">
        <f t="shared" si="12"/>
        <v>平成4年12月5日</v>
      </c>
      <c r="I295" s="22">
        <f t="shared" si="13"/>
        <v>33943</v>
      </c>
      <c r="J295" s="1" t="str">
        <f>"00737063"</f>
        <v>00737063</v>
      </c>
      <c r="K295" s="1" t="str">
        <f>"３６６　　　　　　　　　　　　　　　　　"</f>
        <v>３６６　　　　　　　　　　　　　　　　　</v>
      </c>
      <c r="L295" s="1"/>
    </row>
    <row r="296" spans="1:12" ht="18" customHeight="1" x14ac:dyDescent="0.15">
      <c r="A296" s="11">
        <v>365</v>
      </c>
      <c r="B296" s="11" t="s">
        <v>28</v>
      </c>
      <c r="C296" s="11" t="s">
        <v>140</v>
      </c>
      <c r="D296" s="11">
        <v>1</v>
      </c>
      <c r="E296" s="11" t="s">
        <v>4</v>
      </c>
      <c r="F296" s="12">
        <v>38300</v>
      </c>
      <c r="G296" s="12">
        <v>38300</v>
      </c>
      <c r="H296" s="11" t="str">
        <f t="shared" si="12"/>
        <v>平成4年12月5日</v>
      </c>
      <c r="I296" s="22">
        <f t="shared" si="13"/>
        <v>33943</v>
      </c>
      <c r="J296" s="1" t="str">
        <f>"00737065"</f>
        <v>00737065</v>
      </c>
      <c r="K296" s="1" t="str">
        <f>"３６７　　　　　　　　　　　　　　　　　"</f>
        <v>３６７　　　　　　　　　　　　　　　　　</v>
      </c>
      <c r="L296" s="1"/>
    </row>
    <row r="297" spans="1:12" ht="18" customHeight="1" x14ac:dyDescent="0.15">
      <c r="A297" s="11">
        <v>366</v>
      </c>
      <c r="B297" s="11" t="s">
        <v>28</v>
      </c>
      <c r="C297" s="11" t="s">
        <v>140</v>
      </c>
      <c r="D297" s="11">
        <v>1</v>
      </c>
      <c r="E297" s="11" t="s">
        <v>4</v>
      </c>
      <c r="F297" s="12">
        <v>38300</v>
      </c>
      <c r="G297" s="12">
        <v>38300</v>
      </c>
      <c r="H297" s="11" t="str">
        <f t="shared" si="12"/>
        <v>平成4年12月5日</v>
      </c>
      <c r="I297" s="22">
        <f t="shared" si="13"/>
        <v>33943</v>
      </c>
      <c r="J297" s="1" t="str">
        <f>"00737067"</f>
        <v>00737067</v>
      </c>
      <c r="K297" s="1" t="str">
        <f>"３６８　　　　　　　　　　　　　　　　　"</f>
        <v>３６８　　　　　　　　　　　　　　　　　</v>
      </c>
      <c r="L297" s="1"/>
    </row>
    <row r="298" spans="1:12" ht="18" customHeight="1" x14ac:dyDescent="0.15">
      <c r="A298" s="11">
        <v>367</v>
      </c>
      <c r="B298" s="11" t="s">
        <v>28</v>
      </c>
      <c r="C298" s="11" t="s">
        <v>140</v>
      </c>
      <c r="D298" s="11">
        <v>1</v>
      </c>
      <c r="E298" s="11" t="s">
        <v>4</v>
      </c>
      <c r="F298" s="12">
        <v>38300</v>
      </c>
      <c r="G298" s="12">
        <v>38300</v>
      </c>
      <c r="H298" s="11" t="str">
        <f t="shared" si="12"/>
        <v>平成4年12月5日</v>
      </c>
      <c r="I298" s="22">
        <f t="shared" si="13"/>
        <v>33943</v>
      </c>
      <c r="J298" s="1" t="str">
        <f>"00737069"</f>
        <v>00737069</v>
      </c>
      <c r="K298" s="1" t="str">
        <f>"３６９　　　　　　　　　　　　　　　　　"</f>
        <v>３６９　　　　　　　　　　　　　　　　　</v>
      </c>
      <c r="L298" s="1"/>
    </row>
    <row r="299" spans="1:12" ht="18" customHeight="1" x14ac:dyDescent="0.15">
      <c r="A299" s="11">
        <v>368</v>
      </c>
      <c r="B299" s="11" t="s">
        <v>28</v>
      </c>
      <c r="C299" s="11" t="s">
        <v>140</v>
      </c>
      <c r="D299" s="11">
        <v>1</v>
      </c>
      <c r="E299" s="11" t="s">
        <v>4</v>
      </c>
      <c r="F299" s="12">
        <v>38300</v>
      </c>
      <c r="G299" s="12">
        <v>38300</v>
      </c>
      <c r="H299" s="11" t="str">
        <f t="shared" si="12"/>
        <v>平成4年12月5日</v>
      </c>
      <c r="I299" s="22">
        <f t="shared" si="13"/>
        <v>33943</v>
      </c>
      <c r="J299" s="1" t="str">
        <f>"00737071"</f>
        <v>00737071</v>
      </c>
      <c r="K299" s="1" t="str">
        <f>"３７０　　　　　　　　　　　　　　　　　"</f>
        <v>３７０　　　　　　　　　　　　　　　　　</v>
      </c>
      <c r="L299" s="1"/>
    </row>
    <row r="300" spans="1:12" ht="18" customHeight="1" x14ac:dyDescent="0.15">
      <c r="A300" s="11">
        <v>369</v>
      </c>
      <c r="B300" s="11" t="s">
        <v>28</v>
      </c>
      <c r="C300" s="11" t="s">
        <v>140</v>
      </c>
      <c r="D300" s="11">
        <v>1</v>
      </c>
      <c r="E300" s="11" t="s">
        <v>4</v>
      </c>
      <c r="F300" s="12">
        <v>38300</v>
      </c>
      <c r="G300" s="12">
        <v>38300</v>
      </c>
      <c r="H300" s="11" t="str">
        <f t="shared" si="12"/>
        <v>平成4年12月5日</v>
      </c>
      <c r="I300" s="22">
        <f t="shared" si="13"/>
        <v>33943</v>
      </c>
      <c r="J300" s="1" t="str">
        <f>"00737073"</f>
        <v>00737073</v>
      </c>
      <c r="K300" s="1" t="str">
        <f>"３７１　　　　　　　　　　　　　　　　　"</f>
        <v>３７１　　　　　　　　　　　　　　　　　</v>
      </c>
      <c r="L300" s="1"/>
    </row>
    <row r="301" spans="1:12" ht="18" customHeight="1" x14ac:dyDescent="0.15">
      <c r="A301" s="11">
        <v>370</v>
      </c>
      <c r="B301" s="11" t="s">
        <v>28</v>
      </c>
      <c r="C301" s="11" t="s">
        <v>140</v>
      </c>
      <c r="D301" s="11">
        <v>1</v>
      </c>
      <c r="E301" s="11" t="s">
        <v>4</v>
      </c>
      <c r="F301" s="12">
        <v>38300</v>
      </c>
      <c r="G301" s="12">
        <v>38300</v>
      </c>
      <c r="H301" s="11" t="str">
        <f t="shared" si="12"/>
        <v>平成4年12月5日</v>
      </c>
      <c r="I301" s="22">
        <f t="shared" si="13"/>
        <v>33943</v>
      </c>
      <c r="J301" s="1" t="str">
        <f>"00737075"</f>
        <v>00737075</v>
      </c>
      <c r="K301" s="1" t="str">
        <f>"３７２　　　　　　　　　　　　　　　　　"</f>
        <v>３７２　　　　　　　　　　　　　　　　　</v>
      </c>
      <c r="L301" s="1"/>
    </row>
    <row r="302" spans="1:12" ht="18" customHeight="1" x14ac:dyDescent="0.15">
      <c r="A302" s="11">
        <v>371</v>
      </c>
      <c r="B302" s="11" t="s">
        <v>28</v>
      </c>
      <c r="C302" s="11" t="s">
        <v>140</v>
      </c>
      <c r="D302" s="11">
        <v>1</v>
      </c>
      <c r="E302" s="11" t="s">
        <v>4</v>
      </c>
      <c r="F302" s="12">
        <v>38300</v>
      </c>
      <c r="G302" s="12">
        <v>38300</v>
      </c>
      <c r="H302" s="11" t="str">
        <f t="shared" ref="H302:H365" si="14">"平成4年12月5日"</f>
        <v>平成4年12月5日</v>
      </c>
      <c r="I302" s="22">
        <f t="shared" si="13"/>
        <v>33943</v>
      </c>
      <c r="J302" s="1" t="str">
        <f>"00737077"</f>
        <v>00737077</v>
      </c>
      <c r="K302" s="1" t="str">
        <f>"３７３　　　　　　　　　　　　　　　　　"</f>
        <v>３７３　　　　　　　　　　　　　　　　　</v>
      </c>
      <c r="L302" s="1"/>
    </row>
    <row r="303" spans="1:12" ht="18" customHeight="1" x14ac:dyDescent="0.15">
      <c r="A303" s="11">
        <v>372</v>
      </c>
      <c r="B303" s="11" t="s">
        <v>28</v>
      </c>
      <c r="C303" s="11" t="s">
        <v>140</v>
      </c>
      <c r="D303" s="11">
        <v>1</v>
      </c>
      <c r="E303" s="11" t="s">
        <v>4</v>
      </c>
      <c r="F303" s="12">
        <v>38300</v>
      </c>
      <c r="G303" s="12">
        <v>38300</v>
      </c>
      <c r="H303" s="11" t="str">
        <f t="shared" si="14"/>
        <v>平成4年12月5日</v>
      </c>
      <c r="I303" s="22">
        <f t="shared" si="13"/>
        <v>33943</v>
      </c>
      <c r="J303" s="1" t="str">
        <f>"00737079"</f>
        <v>00737079</v>
      </c>
      <c r="K303" s="1" t="str">
        <f>"３７４　　　　　　　　　　　　　　　　　"</f>
        <v>３７４　　　　　　　　　　　　　　　　　</v>
      </c>
      <c r="L303" s="1"/>
    </row>
    <row r="304" spans="1:12" ht="18" customHeight="1" x14ac:dyDescent="0.15">
      <c r="A304" s="11">
        <v>373</v>
      </c>
      <c r="B304" s="11" t="s">
        <v>28</v>
      </c>
      <c r="C304" s="11" t="s">
        <v>140</v>
      </c>
      <c r="D304" s="11">
        <v>1</v>
      </c>
      <c r="E304" s="11" t="s">
        <v>4</v>
      </c>
      <c r="F304" s="12">
        <v>38300</v>
      </c>
      <c r="G304" s="12">
        <v>38300</v>
      </c>
      <c r="H304" s="11" t="str">
        <f t="shared" si="14"/>
        <v>平成4年12月5日</v>
      </c>
      <c r="I304" s="22">
        <f t="shared" si="13"/>
        <v>33943</v>
      </c>
      <c r="J304" s="1" t="str">
        <f>"00737081"</f>
        <v>00737081</v>
      </c>
      <c r="K304" s="1" t="str">
        <f>"３７５　　　　　　　　　　　　　　　　　"</f>
        <v>３７５　　　　　　　　　　　　　　　　　</v>
      </c>
      <c r="L304" s="1"/>
    </row>
    <row r="305" spans="1:12" ht="18" customHeight="1" x14ac:dyDescent="0.15">
      <c r="A305" s="11">
        <v>374</v>
      </c>
      <c r="B305" s="11" t="s">
        <v>28</v>
      </c>
      <c r="C305" s="11" t="s">
        <v>140</v>
      </c>
      <c r="D305" s="11">
        <v>1</v>
      </c>
      <c r="E305" s="11" t="s">
        <v>4</v>
      </c>
      <c r="F305" s="12">
        <v>38300</v>
      </c>
      <c r="G305" s="12">
        <v>38300</v>
      </c>
      <c r="H305" s="11" t="str">
        <f t="shared" si="14"/>
        <v>平成4年12月5日</v>
      </c>
      <c r="I305" s="22">
        <f t="shared" si="13"/>
        <v>33943</v>
      </c>
      <c r="J305" s="1" t="str">
        <f>"00737083"</f>
        <v>00737083</v>
      </c>
      <c r="K305" s="1" t="str">
        <f>"３７６　　　　　　　　　　　　　　　　　"</f>
        <v>３７６　　　　　　　　　　　　　　　　　</v>
      </c>
      <c r="L305" s="1"/>
    </row>
    <row r="306" spans="1:12" ht="18" customHeight="1" x14ac:dyDescent="0.15">
      <c r="A306" s="11">
        <v>375</v>
      </c>
      <c r="B306" s="11" t="s">
        <v>28</v>
      </c>
      <c r="C306" s="11" t="s">
        <v>140</v>
      </c>
      <c r="D306" s="11">
        <v>1</v>
      </c>
      <c r="E306" s="11" t="s">
        <v>4</v>
      </c>
      <c r="F306" s="12">
        <v>38300</v>
      </c>
      <c r="G306" s="12">
        <v>38300</v>
      </c>
      <c r="H306" s="11" t="str">
        <f t="shared" si="14"/>
        <v>平成4年12月5日</v>
      </c>
      <c r="I306" s="22">
        <f t="shared" si="13"/>
        <v>33943</v>
      </c>
      <c r="J306" s="1" t="str">
        <f>"00737085"</f>
        <v>00737085</v>
      </c>
      <c r="K306" s="1" t="str">
        <f>"３７７　　　　　　　　　　　　　　　　　"</f>
        <v>３７７　　　　　　　　　　　　　　　　　</v>
      </c>
      <c r="L306" s="1"/>
    </row>
    <row r="307" spans="1:12" ht="18" customHeight="1" x14ac:dyDescent="0.15">
      <c r="A307" s="11">
        <v>376</v>
      </c>
      <c r="B307" s="11" t="s">
        <v>28</v>
      </c>
      <c r="C307" s="11" t="s">
        <v>140</v>
      </c>
      <c r="D307" s="11">
        <v>1</v>
      </c>
      <c r="E307" s="11" t="s">
        <v>4</v>
      </c>
      <c r="F307" s="12">
        <v>38300</v>
      </c>
      <c r="G307" s="12">
        <v>38300</v>
      </c>
      <c r="H307" s="11" t="str">
        <f t="shared" si="14"/>
        <v>平成4年12月5日</v>
      </c>
      <c r="I307" s="22">
        <f t="shared" si="13"/>
        <v>33943</v>
      </c>
      <c r="J307" s="1" t="str">
        <f>"00737087"</f>
        <v>00737087</v>
      </c>
      <c r="K307" s="1" t="str">
        <f>"３７８　　　　　　　　　　　　　　　　　"</f>
        <v>３７８　　　　　　　　　　　　　　　　　</v>
      </c>
      <c r="L307" s="1"/>
    </row>
    <row r="308" spans="1:12" ht="18" customHeight="1" x14ac:dyDescent="0.15">
      <c r="A308" s="11">
        <v>377</v>
      </c>
      <c r="B308" s="11" t="s">
        <v>28</v>
      </c>
      <c r="C308" s="11" t="s">
        <v>140</v>
      </c>
      <c r="D308" s="11">
        <v>1</v>
      </c>
      <c r="E308" s="11" t="s">
        <v>4</v>
      </c>
      <c r="F308" s="12">
        <v>38300</v>
      </c>
      <c r="G308" s="12">
        <v>38300</v>
      </c>
      <c r="H308" s="11" t="str">
        <f t="shared" si="14"/>
        <v>平成4年12月5日</v>
      </c>
      <c r="I308" s="22">
        <f t="shared" si="13"/>
        <v>33943</v>
      </c>
      <c r="J308" s="1" t="str">
        <f>"00737089"</f>
        <v>00737089</v>
      </c>
      <c r="K308" s="1" t="str">
        <f>"３７９　　　　　　　　　　　　　　　　　"</f>
        <v>３７９　　　　　　　　　　　　　　　　　</v>
      </c>
      <c r="L308" s="1"/>
    </row>
    <row r="309" spans="1:12" ht="18" customHeight="1" x14ac:dyDescent="0.15">
      <c r="A309" s="11">
        <v>378</v>
      </c>
      <c r="B309" s="11" t="s">
        <v>28</v>
      </c>
      <c r="C309" s="11" t="s">
        <v>140</v>
      </c>
      <c r="D309" s="11">
        <v>1</v>
      </c>
      <c r="E309" s="11" t="s">
        <v>4</v>
      </c>
      <c r="F309" s="12">
        <v>38300</v>
      </c>
      <c r="G309" s="12">
        <v>38300</v>
      </c>
      <c r="H309" s="11" t="str">
        <f t="shared" si="14"/>
        <v>平成4年12月5日</v>
      </c>
      <c r="I309" s="22">
        <f t="shared" si="13"/>
        <v>33943</v>
      </c>
      <c r="J309" s="1" t="str">
        <f>"00737091"</f>
        <v>00737091</v>
      </c>
      <c r="K309" s="1" t="str">
        <f>"３８０　　　　　　　　　　　　　　　　　"</f>
        <v>３８０　　　　　　　　　　　　　　　　　</v>
      </c>
      <c r="L309" s="1"/>
    </row>
    <row r="310" spans="1:12" ht="18" customHeight="1" x14ac:dyDescent="0.15">
      <c r="A310" s="11">
        <v>379</v>
      </c>
      <c r="B310" s="11" t="s">
        <v>28</v>
      </c>
      <c r="C310" s="11" t="s">
        <v>140</v>
      </c>
      <c r="D310" s="11">
        <v>1</v>
      </c>
      <c r="E310" s="11" t="s">
        <v>4</v>
      </c>
      <c r="F310" s="12">
        <v>38300</v>
      </c>
      <c r="G310" s="12">
        <v>38300</v>
      </c>
      <c r="H310" s="11" t="str">
        <f t="shared" si="14"/>
        <v>平成4年12月5日</v>
      </c>
      <c r="I310" s="22">
        <f t="shared" si="13"/>
        <v>33943</v>
      </c>
      <c r="J310" s="1" t="str">
        <f>"00737093"</f>
        <v>00737093</v>
      </c>
      <c r="K310" s="1" t="str">
        <f>"３８１　　　　　　　　　　　　　　　　　"</f>
        <v>３８１　　　　　　　　　　　　　　　　　</v>
      </c>
      <c r="L310" s="1"/>
    </row>
    <row r="311" spans="1:12" ht="18" customHeight="1" x14ac:dyDescent="0.15">
      <c r="A311" s="11">
        <v>380</v>
      </c>
      <c r="B311" s="11" t="s">
        <v>28</v>
      </c>
      <c r="C311" s="11" t="s">
        <v>140</v>
      </c>
      <c r="D311" s="11">
        <v>1</v>
      </c>
      <c r="E311" s="11" t="s">
        <v>4</v>
      </c>
      <c r="F311" s="12">
        <v>38300</v>
      </c>
      <c r="G311" s="12">
        <v>38300</v>
      </c>
      <c r="H311" s="11" t="str">
        <f t="shared" si="14"/>
        <v>平成4年12月5日</v>
      </c>
      <c r="I311" s="22">
        <f t="shared" si="13"/>
        <v>33943</v>
      </c>
      <c r="J311" s="1" t="str">
        <f>"00737095"</f>
        <v>00737095</v>
      </c>
      <c r="K311" s="1" t="str">
        <f>"３８２　　　　　　　　　　　　　　　　　"</f>
        <v>３８２　　　　　　　　　　　　　　　　　</v>
      </c>
      <c r="L311" s="1"/>
    </row>
    <row r="312" spans="1:12" ht="18" customHeight="1" x14ac:dyDescent="0.15">
      <c r="A312" s="11">
        <v>381</v>
      </c>
      <c r="B312" s="11" t="s">
        <v>28</v>
      </c>
      <c r="C312" s="11" t="s">
        <v>140</v>
      </c>
      <c r="D312" s="11">
        <v>1</v>
      </c>
      <c r="E312" s="11" t="s">
        <v>4</v>
      </c>
      <c r="F312" s="12">
        <v>38300</v>
      </c>
      <c r="G312" s="12">
        <v>38300</v>
      </c>
      <c r="H312" s="11" t="str">
        <f t="shared" si="14"/>
        <v>平成4年12月5日</v>
      </c>
      <c r="I312" s="22">
        <f t="shared" si="13"/>
        <v>33943</v>
      </c>
      <c r="J312" s="1" t="str">
        <f>"00737097"</f>
        <v>00737097</v>
      </c>
      <c r="K312" s="1" t="str">
        <f>"３８３　　　　　　　　　　　　　　　　　"</f>
        <v>３８３　　　　　　　　　　　　　　　　　</v>
      </c>
      <c r="L312" s="1"/>
    </row>
    <row r="313" spans="1:12" ht="18" customHeight="1" x14ac:dyDescent="0.15">
      <c r="A313" s="11">
        <v>382</v>
      </c>
      <c r="B313" s="11" t="s">
        <v>28</v>
      </c>
      <c r="C313" s="11" t="s">
        <v>140</v>
      </c>
      <c r="D313" s="11">
        <v>1</v>
      </c>
      <c r="E313" s="11" t="s">
        <v>4</v>
      </c>
      <c r="F313" s="12">
        <v>38300</v>
      </c>
      <c r="G313" s="12">
        <v>38300</v>
      </c>
      <c r="H313" s="11" t="str">
        <f t="shared" si="14"/>
        <v>平成4年12月5日</v>
      </c>
      <c r="I313" s="22">
        <f t="shared" si="13"/>
        <v>33943</v>
      </c>
      <c r="J313" s="1" t="str">
        <f>"00737099"</f>
        <v>00737099</v>
      </c>
      <c r="K313" s="1" t="str">
        <f>"３８４　　　　　　　　　　　　　　　　　"</f>
        <v>３８４　　　　　　　　　　　　　　　　　</v>
      </c>
      <c r="L313" s="1"/>
    </row>
    <row r="314" spans="1:12" ht="18" customHeight="1" x14ac:dyDescent="0.15">
      <c r="A314" s="11">
        <v>383</v>
      </c>
      <c r="B314" s="11" t="s">
        <v>28</v>
      </c>
      <c r="C314" s="11" t="s">
        <v>140</v>
      </c>
      <c r="D314" s="11">
        <v>1</v>
      </c>
      <c r="E314" s="11" t="s">
        <v>4</v>
      </c>
      <c r="F314" s="12">
        <v>38300</v>
      </c>
      <c r="G314" s="12">
        <v>38300</v>
      </c>
      <c r="H314" s="11" t="str">
        <f t="shared" si="14"/>
        <v>平成4年12月5日</v>
      </c>
      <c r="I314" s="22">
        <f t="shared" si="13"/>
        <v>33943</v>
      </c>
      <c r="J314" s="1" t="str">
        <f>"00737101"</f>
        <v>00737101</v>
      </c>
      <c r="K314" s="1" t="str">
        <f>"３８５　　　　　　　　　　　　　　　　　"</f>
        <v>３８５　　　　　　　　　　　　　　　　　</v>
      </c>
      <c r="L314" s="1"/>
    </row>
    <row r="315" spans="1:12" ht="18" customHeight="1" x14ac:dyDescent="0.15">
      <c r="A315" s="11">
        <v>384</v>
      </c>
      <c r="B315" s="11" t="s">
        <v>28</v>
      </c>
      <c r="C315" s="11" t="s">
        <v>140</v>
      </c>
      <c r="D315" s="11">
        <v>1</v>
      </c>
      <c r="E315" s="11" t="s">
        <v>4</v>
      </c>
      <c r="F315" s="12">
        <v>38300</v>
      </c>
      <c r="G315" s="12">
        <v>38300</v>
      </c>
      <c r="H315" s="11" t="str">
        <f t="shared" si="14"/>
        <v>平成4年12月5日</v>
      </c>
      <c r="I315" s="22">
        <f t="shared" si="13"/>
        <v>33943</v>
      </c>
      <c r="J315" s="1" t="str">
        <f>"00737103"</f>
        <v>00737103</v>
      </c>
      <c r="K315" s="1" t="str">
        <f>"３８６　　　　　　　　　　　　　　　　　"</f>
        <v>３８６　　　　　　　　　　　　　　　　　</v>
      </c>
      <c r="L315" s="1"/>
    </row>
    <row r="316" spans="1:12" ht="18" customHeight="1" x14ac:dyDescent="0.15">
      <c r="A316" s="11">
        <v>385</v>
      </c>
      <c r="B316" s="11" t="s">
        <v>28</v>
      </c>
      <c r="C316" s="11" t="s">
        <v>140</v>
      </c>
      <c r="D316" s="11">
        <v>1</v>
      </c>
      <c r="E316" s="11" t="s">
        <v>4</v>
      </c>
      <c r="F316" s="12">
        <v>38300</v>
      </c>
      <c r="G316" s="12">
        <v>38300</v>
      </c>
      <c r="H316" s="11" t="str">
        <f t="shared" si="14"/>
        <v>平成4年12月5日</v>
      </c>
      <c r="I316" s="22">
        <f t="shared" si="13"/>
        <v>33943</v>
      </c>
      <c r="J316" s="1" t="str">
        <f>"00737105"</f>
        <v>00737105</v>
      </c>
      <c r="K316" s="1" t="str">
        <f>"３８７　　　　　　　　　　　　　　　　　"</f>
        <v>３８７　　　　　　　　　　　　　　　　　</v>
      </c>
      <c r="L316" s="1"/>
    </row>
    <row r="317" spans="1:12" ht="18" customHeight="1" x14ac:dyDescent="0.15">
      <c r="A317" s="11">
        <v>386</v>
      </c>
      <c r="B317" s="11" t="s">
        <v>28</v>
      </c>
      <c r="C317" s="11" t="s">
        <v>140</v>
      </c>
      <c r="D317" s="11">
        <v>1</v>
      </c>
      <c r="E317" s="11" t="s">
        <v>4</v>
      </c>
      <c r="F317" s="12">
        <v>38300</v>
      </c>
      <c r="G317" s="12">
        <v>38300</v>
      </c>
      <c r="H317" s="11" t="str">
        <f t="shared" si="14"/>
        <v>平成4年12月5日</v>
      </c>
      <c r="I317" s="22">
        <f t="shared" si="13"/>
        <v>33943</v>
      </c>
      <c r="J317" s="1" t="str">
        <f>"00737107"</f>
        <v>00737107</v>
      </c>
      <c r="K317" s="1" t="str">
        <f>"３８８　　　　　　　　　　　　　　　　　"</f>
        <v>３８８　　　　　　　　　　　　　　　　　</v>
      </c>
      <c r="L317" s="1"/>
    </row>
    <row r="318" spans="1:12" ht="18" customHeight="1" x14ac:dyDescent="0.15">
      <c r="A318" s="11">
        <v>387</v>
      </c>
      <c r="B318" s="11" t="s">
        <v>28</v>
      </c>
      <c r="C318" s="11" t="s">
        <v>140</v>
      </c>
      <c r="D318" s="11">
        <v>1</v>
      </c>
      <c r="E318" s="11" t="s">
        <v>4</v>
      </c>
      <c r="F318" s="12">
        <v>38300</v>
      </c>
      <c r="G318" s="12">
        <v>38300</v>
      </c>
      <c r="H318" s="11" t="str">
        <f t="shared" si="14"/>
        <v>平成4年12月5日</v>
      </c>
      <c r="I318" s="22">
        <f t="shared" si="13"/>
        <v>33943</v>
      </c>
      <c r="J318" s="1" t="str">
        <f>"00737109"</f>
        <v>00737109</v>
      </c>
      <c r="K318" s="1" t="str">
        <f>"３８９　　　　　　　　　　　　　　　　　"</f>
        <v>３８９　　　　　　　　　　　　　　　　　</v>
      </c>
      <c r="L318" s="1"/>
    </row>
    <row r="319" spans="1:12" ht="18" customHeight="1" x14ac:dyDescent="0.15">
      <c r="A319" s="11">
        <v>388</v>
      </c>
      <c r="B319" s="11" t="s">
        <v>28</v>
      </c>
      <c r="C319" s="11" t="s">
        <v>140</v>
      </c>
      <c r="D319" s="11">
        <v>1</v>
      </c>
      <c r="E319" s="11" t="s">
        <v>4</v>
      </c>
      <c r="F319" s="12">
        <v>38300</v>
      </c>
      <c r="G319" s="12">
        <v>38300</v>
      </c>
      <c r="H319" s="11" t="str">
        <f t="shared" si="14"/>
        <v>平成4年12月5日</v>
      </c>
      <c r="I319" s="22">
        <f t="shared" si="13"/>
        <v>33943</v>
      </c>
      <c r="J319" s="1" t="str">
        <f>"00737111"</f>
        <v>00737111</v>
      </c>
      <c r="K319" s="1" t="str">
        <f>"３９０　　　　　　　　　　　　　　　　　"</f>
        <v>３９０　　　　　　　　　　　　　　　　　</v>
      </c>
      <c r="L319" s="1"/>
    </row>
    <row r="320" spans="1:12" ht="18" customHeight="1" x14ac:dyDescent="0.15">
      <c r="A320" s="11">
        <v>389</v>
      </c>
      <c r="B320" s="11" t="s">
        <v>28</v>
      </c>
      <c r="C320" s="11" t="s">
        <v>140</v>
      </c>
      <c r="D320" s="11">
        <v>1</v>
      </c>
      <c r="E320" s="11" t="s">
        <v>4</v>
      </c>
      <c r="F320" s="12">
        <v>38300</v>
      </c>
      <c r="G320" s="12">
        <v>38300</v>
      </c>
      <c r="H320" s="11" t="str">
        <f t="shared" si="14"/>
        <v>平成4年12月5日</v>
      </c>
      <c r="I320" s="22">
        <f t="shared" si="13"/>
        <v>33943</v>
      </c>
      <c r="J320" s="1" t="str">
        <f>"00737113"</f>
        <v>00737113</v>
      </c>
      <c r="K320" s="1" t="str">
        <f>"３９１　　　　　　　　　　　　　　　　　"</f>
        <v>３９１　　　　　　　　　　　　　　　　　</v>
      </c>
      <c r="L320" s="1"/>
    </row>
    <row r="321" spans="1:12" ht="18" customHeight="1" x14ac:dyDescent="0.15">
      <c r="A321" s="11">
        <v>390</v>
      </c>
      <c r="B321" s="11" t="s">
        <v>28</v>
      </c>
      <c r="C321" s="11" t="s">
        <v>140</v>
      </c>
      <c r="D321" s="11">
        <v>1</v>
      </c>
      <c r="E321" s="11" t="s">
        <v>4</v>
      </c>
      <c r="F321" s="12">
        <v>38300</v>
      </c>
      <c r="G321" s="12">
        <v>38300</v>
      </c>
      <c r="H321" s="11" t="str">
        <f t="shared" si="14"/>
        <v>平成4年12月5日</v>
      </c>
      <c r="I321" s="22">
        <f t="shared" si="13"/>
        <v>33943</v>
      </c>
      <c r="J321" s="1" t="str">
        <f>"00737115"</f>
        <v>00737115</v>
      </c>
      <c r="K321" s="1" t="str">
        <f>"３９２　　　　　　　　　　　　　　　　　"</f>
        <v>３９２　　　　　　　　　　　　　　　　　</v>
      </c>
      <c r="L321" s="1"/>
    </row>
    <row r="322" spans="1:12" ht="18" customHeight="1" x14ac:dyDescent="0.15">
      <c r="A322" s="11">
        <v>391</v>
      </c>
      <c r="B322" s="11" t="s">
        <v>28</v>
      </c>
      <c r="C322" s="11" t="s">
        <v>140</v>
      </c>
      <c r="D322" s="11">
        <v>1</v>
      </c>
      <c r="E322" s="11" t="s">
        <v>4</v>
      </c>
      <c r="F322" s="12">
        <v>38300</v>
      </c>
      <c r="G322" s="12">
        <v>38300</v>
      </c>
      <c r="H322" s="11" t="str">
        <f t="shared" si="14"/>
        <v>平成4年12月5日</v>
      </c>
      <c r="I322" s="22">
        <f t="shared" si="13"/>
        <v>33943</v>
      </c>
      <c r="J322" s="1" t="str">
        <f>"00737117"</f>
        <v>00737117</v>
      </c>
      <c r="K322" s="1" t="str">
        <f>"３９３　　　　　　　　　　　　　　　　　"</f>
        <v>３９３　　　　　　　　　　　　　　　　　</v>
      </c>
      <c r="L322" s="1"/>
    </row>
    <row r="323" spans="1:12" ht="18" customHeight="1" x14ac:dyDescent="0.15">
      <c r="A323" s="11">
        <v>392</v>
      </c>
      <c r="B323" s="11" t="s">
        <v>28</v>
      </c>
      <c r="C323" s="11" t="s">
        <v>140</v>
      </c>
      <c r="D323" s="11">
        <v>1</v>
      </c>
      <c r="E323" s="11" t="s">
        <v>4</v>
      </c>
      <c r="F323" s="12">
        <v>38300</v>
      </c>
      <c r="G323" s="12">
        <v>38300</v>
      </c>
      <c r="H323" s="11" t="str">
        <f t="shared" si="14"/>
        <v>平成4年12月5日</v>
      </c>
      <c r="I323" s="22">
        <f t="shared" si="13"/>
        <v>33943</v>
      </c>
      <c r="J323" s="1" t="str">
        <f>"00737119"</f>
        <v>00737119</v>
      </c>
      <c r="K323" s="1" t="str">
        <f>"３９４　　　　　　　　　　　　　　　　　"</f>
        <v>３９４　　　　　　　　　　　　　　　　　</v>
      </c>
      <c r="L323" s="1"/>
    </row>
    <row r="324" spans="1:12" ht="18" customHeight="1" x14ac:dyDescent="0.15">
      <c r="A324" s="11">
        <v>393</v>
      </c>
      <c r="B324" s="11" t="s">
        <v>28</v>
      </c>
      <c r="C324" s="11" t="s">
        <v>140</v>
      </c>
      <c r="D324" s="11">
        <v>1</v>
      </c>
      <c r="E324" s="11" t="s">
        <v>4</v>
      </c>
      <c r="F324" s="12">
        <v>38300</v>
      </c>
      <c r="G324" s="12">
        <v>38300</v>
      </c>
      <c r="H324" s="11" t="str">
        <f t="shared" si="14"/>
        <v>平成4年12月5日</v>
      </c>
      <c r="I324" s="22">
        <f t="shared" si="13"/>
        <v>33943</v>
      </c>
      <c r="J324" s="1" t="str">
        <f>"00737121"</f>
        <v>00737121</v>
      </c>
      <c r="K324" s="1" t="str">
        <f>"３９５　　　　　　　　　　　　　　　　　"</f>
        <v>３９５　　　　　　　　　　　　　　　　　</v>
      </c>
      <c r="L324" s="1"/>
    </row>
    <row r="325" spans="1:12" ht="18" customHeight="1" x14ac:dyDescent="0.15">
      <c r="A325" s="11">
        <v>394</v>
      </c>
      <c r="B325" s="11" t="s">
        <v>28</v>
      </c>
      <c r="C325" s="11" t="s">
        <v>140</v>
      </c>
      <c r="D325" s="11">
        <v>1</v>
      </c>
      <c r="E325" s="11" t="s">
        <v>4</v>
      </c>
      <c r="F325" s="12">
        <v>38300</v>
      </c>
      <c r="G325" s="12">
        <v>38300</v>
      </c>
      <c r="H325" s="11" t="str">
        <f t="shared" si="14"/>
        <v>平成4年12月5日</v>
      </c>
      <c r="I325" s="22">
        <f t="shared" si="13"/>
        <v>33943</v>
      </c>
      <c r="J325" s="1" t="str">
        <f>"00737123"</f>
        <v>00737123</v>
      </c>
      <c r="K325" s="1" t="str">
        <f>"３９６　　　　　　　　　　　　　　　　　"</f>
        <v>３９６　　　　　　　　　　　　　　　　　</v>
      </c>
      <c r="L325" s="1"/>
    </row>
    <row r="326" spans="1:12" ht="18" customHeight="1" x14ac:dyDescent="0.15">
      <c r="A326" s="11">
        <v>395</v>
      </c>
      <c r="B326" s="11" t="s">
        <v>28</v>
      </c>
      <c r="C326" s="11" t="s">
        <v>140</v>
      </c>
      <c r="D326" s="11">
        <v>1</v>
      </c>
      <c r="E326" s="11" t="s">
        <v>4</v>
      </c>
      <c r="F326" s="12">
        <v>38300</v>
      </c>
      <c r="G326" s="12">
        <v>38300</v>
      </c>
      <c r="H326" s="11" t="str">
        <f t="shared" si="14"/>
        <v>平成4年12月5日</v>
      </c>
      <c r="I326" s="22">
        <f t="shared" si="13"/>
        <v>33943</v>
      </c>
      <c r="J326" s="1" t="str">
        <f>"00737125"</f>
        <v>00737125</v>
      </c>
      <c r="K326" s="1" t="str">
        <f>"３９７　　　　　　　　　　　　　　　　　"</f>
        <v>３９７　　　　　　　　　　　　　　　　　</v>
      </c>
      <c r="L326" s="1"/>
    </row>
    <row r="327" spans="1:12" ht="18" customHeight="1" x14ac:dyDescent="0.15">
      <c r="A327" s="11">
        <v>396</v>
      </c>
      <c r="B327" s="11" t="s">
        <v>28</v>
      </c>
      <c r="C327" s="11" t="s">
        <v>140</v>
      </c>
      <c r="D327" s="11">
        <v>1</v>
      </c>
      <c r="E327" s="11" t="s">
        <v>4</v>
      </c>
      <c r="F327" s="12">
        <v>38300</v>
      </c>
      <c r="G327" s="12">
        <v>38300</v>
      </c>
      <c r="H327" s="11" t="str">
        <f t="shared" si="14"/>
        <v>平成4年12月5日</v>
      </c>
      <c r="I327" s="22">
        <f t="shared" si="13"/>
        <v>33943</v>
      </c>
      <c r="J327" s="1" t="str">
        <f>"00737127"</f>
        <v>00737127</v>
      </c>
      <c r="K327" s="1" t="str">
        <f>"３９８　　　　　　　　　　　　　　　　　"</f>
        <v>３９８　　　　　　　　　　　　　　　　　</v>
      </c>
      <c r="L327" s="1"/>
    </row>
    <row r="328" spans="1:12" ht="18" customHeight="1" x14ac:dyDescent="0.15">
      <c r="A328" s="11">
        <v>397</v>
      </c>
      <c r="B328" s="11" t="s">
        <v>28</v>
      </c>
      <c r="C328" s="11" t="s">
        <v>140</v>
      </c>
      <c r="D328" s="11">
        <v>1</v>
      </c>
      <c r="E328" s="11" t="s">
        <v>4</v>
      </c>
      <c r="F328" s="12">
        <v>38300</v>
      </c>
      <c r="G328" s="12">
        <v>38300</v>
      </c>
      <c r="H328" s="11" t="str">
        <f t="shared" si="14"/>
        <v>平成4年12月5日</v>
      </c>
      <c r="I328" s="22">
        <f t="shared" si="13"/>
        <v>33943</v>
      </c>
      <c r="J328" s="1" t="str">
        <f>"00737129"</f>
        <v>00737129</v>
      </c>
      <c r="K328" s="1" t="str">
        <f>"４００　　　　　　　　　　　　　　　　　"</f>
        <v>４００　　　　　　　　　　　　　　　　　</v>
      </c>
      <c r="L328" s="1"/>
    </row>
    <row r="329" spans="1:12" ht="18" customHeight="1" x14ac:dyDescent="0.15">
      <c r="A329" s="11">
        <v>398</v>
      </c>
      <c r="B329" s="11" t="s">
        <v>28</v>
      </c>
      <c r="C329" s="11" t="s">
        <v>140</v>
      </c>
      <c r="D329" s="11">
        <v>1</v>
      </c>
      <c r="E329" s="11" t="s">
        <v>4</v>
      </c>
      <c r="F329" s="12">
        <v>38300</v>
      </c>
      <c r="G329" s="12">
        <v>38300</v>
      </c>
      <c r="H329" s="11" t="str">
        <f t="shared" si="14"/>
        <v>平成4年12月5日</v>
      </c>
      <c r="I329" s="22">
        <f t="shared" si="13"/>
        <v>33943</v>
      </c>
      <c r="J329" s="1" t="str">
        <f>"00737131"</f>
        <v>00737131</v>
      </c>
      <c r="K329" s="1" t="str">
        <f>"４０１　　　　　　　　　　　　　　　　　"</f>
        <v>４０１　　　　　　　　　　　　　　　　　</v>
      </c>
      <c r="L329" s="1"/>
    </row>
    <row r="330" spans="1:12" ht="18" customHeight="1" x14ac:dyDescent="0.15">
      <c r="A330" s="11">
        <v>399</v>
      </c>
      <c r="B330" s="11" t="s">
        <v>28</v>
      </c>
      <c r="C330" s="11" t="s">
        <v>140</v>
      </c>
      <c r="D330" s="11">
        <v>1</v>
      </c>
      <c r="E330" s="11" t="s">
        <v>4</v>
      </c>
      <c r="F330" s="12">
        <v>38300</v>
      </c>
      <c r="G330" s="12">
        <v>38300</v>
      </c>
      <c r="H330" s="11" t="str">
        <f t="shared" si="14"/>
        <v>平成4年12月5日</v>
      </c>
      <c r="I330" s="22">
        <f t="shared" si="13"/>
        <v>33943</v>
      </c>
      <c r="J330" s="1" t="str">
        <f>"00737133"</f>
        <v>00737133</v>
      </c>
      <c r="K330" s="1" t="str">
        <f>"４０２　　　　　　　　　　　　　　　　　"</f>
        <v>４０２　　　　　　　　　　　　　　　　　</v>
      </c>
      <c r="L330" s="1"/>
    </row>
    <row r="331" spans="1:12" ht="18" customHeight="1" x14ac:dyDescent="0.15">
      <c r="A331" s="11">
        <v>400</v>
      </c>
      <c r="B331" s="11" t="s">
        <v>28</v>
      </c>
      <c r="C331" s="11" t="s">
        <v>140</v>
      </c>
      <c r="D331" s="11">
        <v>1</v>
      </c>
      <c r="E331" s="11" t="s">
        <v>4</v>
      </c>
      <c r="F331" s="12">
        <v>38300</v>
      </c>
      <c r="G331" s="12">
        <v>38300</v>
      </c>
      <c r="H331" s="11" t="str">
        <f t="shared" si="14"/>
        <v>平成4年12月5日</v>
      </c>
      <c r="I331" s="22">
        <f t="shared" si="13"/>
        <v>33943</v>
      </c>
      <c r="J331" s="1" t="str">
        <f>"00737135"</f>
        <v>00737135</v>
      </c>
      <c r="K331" s="1" t="str">
        <f>"４０３　　　　　　　　　　　　　　　　　"</f>
        <v>４０３　　　　　　　　　　　　　　　　　</v>
      </c>
      <c r="L331" s="1"/>
    </row>
    <row r="332" spans="1:12" ht="18" customHeight="1" x14ac:dyDescent="0.15">
      <c r="A332" s="11">
        <v>401</v>
      </c>
      <c r="B332" s="11" t="s">
        <v>28</v>
      </c>
      <c r="C332" s="11" t="s">
        <v>140</v>
      </c>
      <c r="D332" s="11">
        <v>1</v>
      </c>
      <c r="E332" s="11" t="s">
        <v>4</v>
      </c>
      <c r="F332" s="12">
        <v>38300</v>
      </c>
      <c r="G332" s="12">
        <v>38300</v>
      </c>
      <c r="H332" s="11" t="str">
        <f t="shared" si="14"/>
        <v>平成4年12月5日</v>
      </c>
      <c r="I332" s="22">
        <f t="shared" si="13"/>
        <v>33943</v>
      </c>
      <c r="J332" s="1" t="str">
        <f>"00737137"</f>
        <v>00737137</v>
      </c>
      <c r="K332" s="1" t="str">
        <f>"４０４　　　　　　　　　　　　　　　　　"</f>
        <v>４０４　　　　　　　　　　　　　　　　　</v>
      </c>
      <c r="L332" s="1"/>
    </row>
    <row r="333" spans="1:12" ht="18" customHeight="1" x14ac:dyDescent="0.15">
      <c r="A333" s="11">
        <v>402</v>
      </c>
      <c r="B333" s="11" t="s">
        <v>28</v>
      </c>
      <c r="C333" s="11" t="s">
        <v>140</v>
      </c>
      <c r="D333" s="11">
        <v>1</v>
      </c>
      <c r="E333" s="11" t="s">
        <v>4</v>
      </c>
      <c r="F333" s="12">
        <v>38300</v>
      </c>
      <c r="G333" s="12">
        <v>38300</v>
      </c>
      <c r="H333" s="11" t="str">
        <f t="shared" si="14"/>
        <v>平成4年12月5日</v>
      </c>
      <c r="I333" s="22">
        <f t="shared" si="13"/>
        <v>33943</v>
      </c>
      <c r="J333" s="1" t="str">
        <f>"00737139"</f>
        <v>00737139</v>
      </c>
      <c r="K333" s="1" t="str">
        <f>"４０５　　　　　　　　　　　　　　　　　"</f>
        <v>４０５　　　　　　　　　　　　　　　　　</v>
      </c>
      <c r="L333" s="1"/>
    </row>
    <row r="334" spans="1:12" ht="18" customHeight="1" x14ac:dyDescent="0.15">
      <c r="A334" s="11">
        <v>403</v>
      </c>
      <c r="B334" s="11" t="s">
        <v>28</v>
      </c>
      <c r="C334" s="11" t="s">
        <v>140</v>
      </c>
      <c r="D334" s="11">
        <v>1</v>
      </c>
      <c r="E334" s="11" t="s">
        <v>4</v>
      </c>
      <c r="F334" s="12">
        <v>38300</v>
      </c>
      <c r="G334" s="12">
        <v>38300</v>
      </c>
      <c r="H334" s="11" t="str">
        <f t="shared" si="14"/>
        <v>平成4年12月5日</v>
      </c>
      <c r="I334" s="22">
        <f t="shared" si="13"/>
        <v>33943</v>
      </c>
      <c r="J334" s="1" t="str">
        <f>"00737141"</f>
        <v>00737141</v>
      </c>
      <c r="K334" s="1" t="str">
        <f>"４０６　　　　　　　　　　　　　　　　　"</f>
        <v>４０６　　　　　　　　　　　　　　　　　</v>
      </c>
      <c r="L334" s="1"/>
    </row>
    <row r="335" spans="1:12" ht="18" customHeight="1" x14ac:dyDescent="0.15">
      <c r="A335" s="11">
        <v>404</v>
      </c>
      <c r="B335" s="11" t="s">
        <v>28</v>
      </c>
      <c r="C335" s="11" t="s">
        <v>140</v>
      </c>
      <c r="D335" s="11">
        <v>1</v>
      </c>
      <c r="E335" s="11" t="s">
        <v>4</v>
      </c>
      <c r="F335" s="12">
        <v>38300</v>
      </c>
      <c r="G335" s="12">
        <v>38300</v>
      </c>
      <c r="H335" s="11" t="str">
        <f t="shared" si="14"/>
        <v>平成4年12月5日</v>
      </c>
      <c r="I335" s="22">
        <f t="shared" si="13"/>
        <v>33943</v>
      </c>
      <c r="J335" s="1" t="str">
        <f>"00737143"</f>
        <v>00737143</v>
      </c>
      <c r="K335" s="1" t="str">
        <f>"４０７　　　　　　　　　　　　　　　　　"</f>
        <v>４０７　　　　　　　　　　　　　　　　　</v>
      </c>
      <c r="L335" s="1"/>
    </row>
    <row r="336" spans="1:12" ht="18" customHeight="1" x14ac:dyDescent="0.15">
      <c r="A336" s="11">
        <v>405</v>
      </c>
      <c r="B336" s="11" t="s">
        <v>28</v>
      </c>
      <c r="C336" s="11" t="s">
        <v>140</v>
      </c>
      <c r="D336" s="11">
        <v>1</v>
      </c>
      <c r="E336" s="11" t="s">
        <v>4</v>
      </c>
      <c r="F336" s="12">
        <v>38300</v>
      </c>
      <c r="G336" s="12">
        <v>38300</v>
      </c>
      <c r="H336" s="11" t="str">
        <f t="shared" si="14"/>
        <v>平成4年12月5日</v>
      </c>
      <c r="I336" s="22">
        <f t="shared" si="13"/>
        <v>33943</v>
      </c>
      <c r="J336" s="1" t="str">
        <f>"00737145"</f>
        <v>00737145</v>
      </c>
      <c r="K336" s="1" t="str">
        <f>"４０８　　　　　　　　　　　　　　　　　"</f>
        <v>４０８　　　　　　　　　　　　　　　　　</v>
      </c>
      <c r="L336" s="1"/>
    </row>
    <row r="337" spans="1:12" ht="18" customHeight="1" x14ac:dyDescent="0.15">
      <c r="A337" s="11">
        <v>406</v>
      </c>
      <c r="B337" s="11" t="s">
        <v>28</v>
      </c>
      <c r="C337" s="11" t="s">
        <v>140</v>
      </c>
      <c r="D337" s="11">
        <v>1</v>
      </c>
      <c r="E337" s="11" t="s">
        <v>4</v>
      </c>
      <c r="F337" s="12">
        <v>38300</v>
      </c>
      <c r="G337" s="12">
        <v>38300</v>
      </c>
      <c r="H337" s="11" t="str">
        <f t="shared" si="14"/>
        <v>平成4年12月5日</v>
      </c>
      <c r="I337" s="22">
        <f t="shared" si="13"/>
        <v>33943</v>
      </c>
      <c r="J337" s="1" t="str">
        <f>"00737147"</f>
        <v>00737147</v>
      </c>
      <c r="K337" s="1" t="str">
        <f>"４０９　　　　　　　　　　　　　　　　　"</f>
        <v>４０９　　　　　　　　　　　　　　　　　</v>
      </c>
      <c r="L337" s="1"/>
    </row>
    <row r="338" spans="1:12" ht="18" customHeight="1" x14ac:dyDescent="0.15">
      <c r="A338" s="11">
        <v>407</v>
      </c>
      <c r="B338" s="11" t="s">
        <v>28</v>
      </c>
      <c r="C338" s="11" t="s">
        <v>140</v>
      </c>
      <c r="D338" s="11">
        <v>1</v>
      </c>
      <c r="E338" s="11" t="s">
        <v>4</v>
      </c>
      <c r="F338" s="12">
        <v>38300</v>
      </c>
      <c r="G338" s="12">
        <v>38300</v>
      </c>
      <c r="H338" s="11" t="str">
        <f t="shared" si="14"/>
        <v>平成4年12月5日</v>
      </c>
      <c r="I338" s="22">
        <f t="shared" ref="I338:I401" si="15">DATEVALUE(H338)</f>
        <v>33943</v>
      </c>
      <c r="J338" s="1" t="str">
        <f>"00737149"</f>
        <v>00737149</v>
      </c>
      <c r="K338" s="1" t="str">
        <f>"４１０　　　　　　　　　　　　　　　　　"</f>
        <v>４１０　　　　　　　　　　　　　　　　　</v>
      </c>
      <c r="L338" s="1"/>
    </row>
    <row r="339" spans="1:12" ht="18" customHeight="1" x14ac:dyDescent="0.15">
      <c r="A339" s="11">
        <v>408</v>
      </c>
      <c r="B339" s="11" t="s">
        <v>28</v>
      </c>
      <c r="C339" s="11" t="s">
        <v>140</v>
      </c>
      <c r="D339" s="11">
        <v>1</v>
      </c>
      <c r="E339" s="11" t="s">
        <v>4</v>
      </c>
      <c r="F339" s="12">
        <v>38300</v>
      </c>
      <c r="G339" s="12">
        <v>38300</v>
      </c>
      <c r="H339" s="11" t="str">
        <f t="shared" si="14"/>
        <v>平成4年12月5日</v>
      </c>
      <c r="I339" s="22">
        <f t="shared" si="15"/>
        <v>33943</v>
      </c>
      <c r="J339" s="1" t="str">
        <f>"00737151"</f>
        <v>00737151</v>
      </c>
      <c r="K339" s="1" t="str">
        <f>"４１１　　　　　　　　　　　　　　　　　"</f>
        <v>４１１　　　　　　　　　　　　　　　　　</v>
      </c>
      <c r="L339" s="1"/>
    </row>
    <row r="340" spans="1:12" ht="18" customHeight="1" x14ac:dyDescent="0.15">
      <c r="A340" s="11">
        <v>409</v>
      </c>
      <c r="B340" s="11" t="s">
        <v>28</v>
      </c>
      <c r="C340" s="11" t="s">
        <v>140</v>
      </c>
      <c r="D340" s="11">
        <v>1</v>
      </c>
      <c r="E340" s="11" t="s">
        <v>4</v>
      </c>
      <c r="F340" s="12">
        <v>38300</v>
      </c>
      <c r="G340" s="12">
        <v>38300</v>
      </c>
      <c r="H340" s="11" t="str">
        <f t="shared" si="14"/>
        <v>平成4年12月5日</v>
      </c>
      <c r="I340" s="22">
        <f t="shared" si="15"/>
        <v>33943</v>
      </c>
      <c r="J340" s="1" t="str">
        <f>"00737153"</f>
        <v>00737153</v>
      </c>
      <c r="K340" s="1" t="str">
        <f>"４１２　　　　　　　　　　　　　　　　　"</f>
        <v>４１２　　　　　　　　　　　　　　　　　</v>
      </c>
      <c r="L340" s="1"/>
    </row>
    <row r="341" spans="1:12" ht="18" customHeight="1" x14ac:dyDescent="0.15">
      <c r="A341" s="11">
        <v>410</v>
      </c>
      <c r="B341" s="11" t="s">
        <v>28</v>
      </c>
      <c r="C341" s="11" t="s">
        <v>140</v>
      </c>
      <c r="D341" s="11">
        <v>1</v>
      </c>
      <c r="E341" s="11" t="s">
        <v>4</v>
      </c>
      <c r="F341" s="12">
        <v>38300</v>
      </c>
      <c r="G341" s="12">
        <v>38300</v>
      </c>
      <c r="H341" s="11" t="str">
        <f t="shared" si="14"/>
        <v>平成4年12月5日</v>
      </c>
      <c r="I341" s="22">
        <f t="shared" si="15"/>
        <v>33943</v>
      </c>
      <c r="J341" s="1" t="str">
        <f>"00737155"</f>
        <v>00737155</v>
      </c>
      <c r="K341" s="1" t="str">
        <f>"４１３　　　　　　　　　　　　　　　　　"</f>
        <v>４１３　　　　　　　　　　　　　　　　　</v>
      </c>
      <c r="L341" s="1"/>
    </row>
    <row r="342" spans="1:12" ht="18" customHeight="1" x14ac:dyDescent="0.15">
      <c r="A342" s="11">
        <v>411</v>
      </c>
      <c r="B342" s="11" t="s">
        <v>28</v>
      </c>
      <c r="C342" s="11" t="s">
        <v>140</v>
      </c>
      <c r="D342" s="11">
        <v>1</v>
      </c>
      <c r="E342" s="11" t="s">
        <v>4</v>
      </c>
      <c r="F342" s="12">
        <v>38300</v>
      </c>
      <c r="G342" s="12">
        <v>38300</v>
      </c>
      <c r="H342" s="11" t="str">
        <f t="shared" si="14"/>
        <v>平成4年12月5日</v>
      </c>
      <c r="I342" s="22">
        <f t="shared" si="15"/>
        <v>33943</v>
      </c>
      <c r="J342" s="1" t="str">
        <f>"00737157"</f>
        <v>00737157</v>
      </c>
      <c r="K342" s="1" t="str">
        <f>"４１４　　　　　　　　　　　　　　　　　"</f>
        <v>４１４　　　　　　　　　　　　　　　　　</v>
      </c>
      <c r="L342" s="1"/>
    </row>
    <row r="343" spans="1:12" ht="18" customHeight="1" x14ac:dyDescent="0.15">
      <c r="A343" s="11">
        <v>412</v>
      </c>
      <c r="B343" s="11" t="s">
        <v>28</v>
      </c>
      <c r="C343" s="11" t="s">
        <v>140</v>
      </c>
      <c r="D343" s="11">
        <v>1</v>
      </c>
      <c r="E343" s="11" t="s">
        <v>4</v>
      </c>
      <c r="F343" s="12">
        <v>38300</v>
      </c>
      <c r="G343" s="12">
        <v>38300</v>
      </c>
      <c r="H343" s="11" t="str">
        <f t="shared" si="14"/>
        <v>平成4年12月5日</v>
      </c>
      <c r="I343" s="22">
        <f t="shared" si="15"/>
        <v>33943</v>
      </c>
      <c r="J343" s="1" t="str">
        <f>"00737159"</f>
        <v>00737159</v>
      </c>
      <c r="K343" s="1" t="str">
        <f>"４１５　　　　　　　　　　　　　　　　　"</f>
        <v>４１５　　　　　　　　　　　　　　　　　</v>
      </c>
      <c r="L343" s="1"/>
    </row>
    <row r="344" spans="1:12" ht="18" customHeight="1" x14ac:dyDescent="0.15">
      <c r="A344" s="11">
        <v>413</v>
      </c>
      <c r="B344" s="11" t="s">
        <v>28</v>
      </c>
      <c r="C344" s="11" t="s">
        <v>140</v>
      </c>
      <c r="D344" s="11">
        <v>1</v>
      </c>
      <c r="E344" s="11" t="s">
        <v>4</v>
      </c>
      <c r="F344" s="12">
        <v>38300</v>
      </c>
      <c r="G344" s="12">
        <v>38300</v>
      </c>
      <c r="H344" s="11" t="str">
        <f t="shared" si="14"/>
        <v>平成4年12月5日</v>
      </c>
      <c r="I344" s="22">
        <f t="shared" si="15"/>
        <v>33943</v>
      </c>
      <c r="J344" s="1" t="str">
        <f>"00737161"</f>
        <v>00737161</v>
      </c>
      <c r="K344" s="1" t="str">
        <f>"４１６　　　　　　　　　　　　　　　　　"</f>
        <v>４１６　　　　　　　　　　　　　　　　　</v>
      </c>
      <c r="L344" s="1"/>
    </row>
    <row r="345" spans="1:12" ht="18" customHeight="1" x14ac:dyDescent="0.15">
      <c r="A345" s="11">
        <v>414</v>
      </c>
      <c r="B345" s="11" t="s">
        <v>28</v>
      </c>
      <c r="C345" s="11" t="s">
        <v>140</v>
      </c>
      <c r="D345" s="11">
        <v>1</v>
      </c>
      <c r="E345" s="11" t="s">
        <v>4</v>
      </c>
      <c r="F345" s="12">
        <v>38300</v>
      </c>
      <c r="G345" s="12">
        <v>38300</v>
      </c>
      <c r="H345" s="11" t="str">
        <f t="shared" si="14"/>
        <v>平成4年12月5日</v>
      </c>
      <c r="I345" s="22">
        <f t="shared" si="15"/>
        <v>33943</v>
      </c>
      <c r="J345" s="1" t="str">
        <f>"00737163"</f>
        <v>00737163</v>
      </c>
      <c r="K345" s="1" t="str">
        <f>"４１７　　　　　　　　　　　　　　　　　"</f>
        <v>４１７　　　　　　　　　　　　　　　　　</v>
      </c>
      <c r="L345" s="1"/>
    </row>
    <row r="346" spans="1:12" ht="18" customHeight="1" x14ac:dyDescent="0.15">
      <c r="A346" s="11">
        <v>415</v>
      </c>
      <c r="B346" s="11" t="s">
        <v>28</v>
      </c>
      <c r="C346" s="11" t="s">
        <v>140</v>
      </c>
      <c r="D346" s="11">
        <v>1</v>
      </c>
      <c r="E346" s="11" t="s">
        <v>4</v>
      </c>
      <c r="F346" s="12">
        <v>38300</v>
      </c>
      <c r="G346" s="12">
        <v>38300</v>
      </c>
      <c r="H346" s="11" t="str">
        <f t="shared" si="14"/>
        <v>平成4年12月5日</v>
      </c>
      <c r="I346" s="22">
        <f t="shared" si="15"/>
        <v>33943</v>
      </c>
      <c r="J346" s="1" t="str">
        <f>"00737165"</f>
        <v>00737165</v>
      </c>
      <c r="K346" s="1" t="str">
        <f>"４１８　　　　　　　　　　　　　　　　　"</f>
        <v>４１８　　　　　　　　　　　　　　　　　</v>
      </c>
      <c r="L346" s="1"/>
    </row>
    <row r="347" spans="1:12" ht="18" customHeight="1" x14ac:dyDescent="0.15">
      <c r="A347" s="11">
        <v>416</v>
      </c>
      <c r="B347" s="11" t="s">
        <v>28</v>
      </c>
      <c r="C347" s="11" t="s">
        <v>140</v>
      </c>
      <c r="D347" s="11">
        <v>1</v>
      </c>
      <c r="E347" s="11" t="s">
        <v>4</v>
      </c>
      <c r="F347" s="12">
        <v>38300</v>
      </c>
      <c r="G347" s="12">
        <v>38300</v>
      </c>
      <c r="H347" s="11" t="str">
        <f t="shared" si="14"/>
        <v>平成4年12月5日</v>
      </c>
      <c r="I347" s="22">
        <f t="shared" si="15"/>
        <v>33943</v>
      </c>
      <c r="J347" s="1" t="str">
        <f>"00737167"</f>
        <v>00737167</v>
      </c>
      <c r="K347" s="1" t="str">
        <f>"４１９　　　　　　　　　　　　　　　　　"</f>
        <v>４１９　　　　　　　　　　　　　　　　　</v>
      </c>
      <c r="L347" s="1"/>
    </row>
    <row r="348" spans="1:12" ht="18" customHeight="1" x14ac:dyDescent="0.15">
      <c r="A348" s="11">
        <v>417</v>
      </c>
      <c r="B348" s="11" t="s">
        <v>28</v>
      </c>
      <c r="C348" s="11" t="s">
        <v>140</v>
      </c>
      <c r="D348" s="11">
        <v>1</v>
      </c>
      <c r="E348" s="11" t="s">
        <v>4</v>
      </c>
      <c r="F348" s="12">
        <v>38300</v>
      </c>
      <c r="G348" s="12">
        <v>38300</v>
      </c>
      <c r="H348" s="11" t="str">
        <f t="shared" si="14"/>
        <v>平成4年12月5日</v>
      </c>
      <c r="I348" s="22">
        <f t="shared" si="15"/>
        <v>33943</v>
      </c>
      <c r="J348" s="1" t="str">
        <f>"00737169"</f>
        <v>00737169</v>
      </c>
      <c r="K348" s="1" t="str">
        <f>"４２０　　　　　　　　　　　　　　　　　"</f>
        <v>４２０　　　　　　　　　　　　　　　　　</v>
      </c>
      <c r="L348" s="1"/>
    </row>
    <row r="349" spans="1:12" ht="18" customHeight="1" x14ac:dyDescent="0.15">
      <c r="A349" s="11">
        <v>418</v>
      </c>
      <c r="B349" s="11" t="s">
        <v>28</v>
      </c>
      <c r="C349" s="11" t="s">
        <v>140</v>
      </c>
      <c r="D349" s="11">
        <v>1</v>
      </c>
      <c r="E349" s="11" t="s">
        <v>4</v>
      </c>
      <c r="F349" s="12">
        <v>38300</v>
      </c>
      <c r="G349" s="12">
        <v>38300</v>
      </c>
      <c r="H349" s="11" t="str">
        <f t="shared" si="14"/>
        <v>平成4年12月5日</v>
      </c>
      <c r="I349" s="22">
        <f t="shared" si="15"/>
        <v>33943</v>
      </c>
      <c r="J349" s="1" t="str">
        <f>"00737171"</f>
        <v>00737171</v>
      </c>
      <c r="K349" s="1" t="str">
        <f>"４２１　　　　　　　　　　　　　　　　　"</f>
        <v>４２１　　　　　　　　　　　　　　　　　</v>
      </c>
      <c r="L349" s="1"/>
    </row>
    <row r="350" spans="1:12" ht="18" customHeight="1" x14ac:dyDescent="0.15">
      <c r="A350" s="11">
        <v>419</v>
      </c>
      <c r="B350" s="11" t="s">
        <v>28</v>
      </c>
      <c r="C350" s="11" t="s">
        <v>140</v>
      </c>
      <c r="D350" s="11">
        <v>1</v>
      </c>
      <c r="E350" s="11" t="s">
        <v>4</v>
      </c>
      <c r="F350" s="12">
        <v>38300</v>
      </c>
      <c r="G350" s="12">
        <v>38300</v>
      </c>
      <c r="H350" s="11" t="str">
        <f t="shared" si="14"/>
        <v>平成4年12月5日</v>
      </c>
      <c r="I350" s="22">
        <f t="shared" si="15"/>
        <v>33943</v>
      </c>
      <c r="J350" s="1" t="str">
        <f>"00737173"</f>
        <v>00737173</v>
      </c>
      <c r="K350" s="1" t="str">
        <f>"４２２　　　　　　　　　　　　　　　　　"</f>
        <v>４２２　　　　　　　　　　　　　　　　　</v>
      </c>
      <c r="L350" s="1"/>
    </row>
    <row r="351" spans="1:12" ht="18" customHeight="1" x14ac:dyDescent="0.15">
      <c r="A351" s="11">
        <v>420</v>
      </c>
      <c r="B351" s="11" t="s">
        <v>28</v>
      </c>
      <c r="C351" s="11" t="s">
        <v>140</v>
      </c>
      <c r="D351" s="11">
        <v>1</v>
      </c>
      <c r="E351" s="11" t="s">
        <v>4</v>
      </c>
      <c r="F351" s="12">
        <v>38300</v>
      </c>
      <c r="G351" s="12">
        <v>38300</v>
      </c>
      <c r="H351" s="11" t="str">
        <f t="shared" si="14"/>
        <v>平成4年12月5日</v>
      </c>
      <c r="I351" s="22">
        <f t="shared" si="15"/>
        <v>33943</v>
      </c>
      <c r="J351" s="1" t="str">
        <f>"00737175"</f>
        <v>00737175</v>
      </c>
      <c r="K351" s="1" t="str">
        <f>"４２３　　　　　　　　　　　　　　　　　"</f>
        <v>４２３　　　　　　　　　　　　　　　　　</v>
      </c>
      <c r="L351" s="1"/>
    </row>
    <row r="352" spans="1:12" ht="18" customHeight="1" x14ac:dyDescent="0.15">
      <c r="A352" s="11">
        <v>421</v>
      </c>
      <c r="B352" s="11" t="s">
        <v>28</v>
      </c>
      <c r="C352" s="11" t="s">
        <v>140</v>
      </c>
      <c r="D352" s="11">
        <v>1</v>
      </c>
      <c r="E352" s="11" t="s">
        <v>4</v>
      </c>
      <c r="F352" s="12">
        <v>38300</v>
      </c>
      <c r="G352" s="12">
        <v>38300</v>
      </c>
      <c r="H352" s="11" t="str">
        <f t="shared" si="14"/>
        <v>平成4年12月5日</v>
      </c>
      <c r="I352" s="22">
        <f t="shared" si="15"/>
        <v>33943</v>
      </c>
      <c r="J352" s="1" t="str">
        <f>"00737177"</f>
        <v>00737177</v>
      </c>
      <c r="K352" s="1" t="str">
        <f>"４２４　　　　　　　　　　　　　　　　　"</f>
        <v>４２４　　　　　　　　　　　　　　　　　</v>
      </c>
      <c r="L352" s="1"/>
    </row>
    <row r="353" spans="1:12" ht="18" customHeight="1" x14ac:dyDescent="0.15">
      <c r="A353" s="11">
        <v>422</v>
      </c>
      <c r="B353" s="11" t="s">
        <v>28</v>
      </c>
      <c r="C353" s="11" t="s">
        <v>140</v>
      </c>
      <c r="D353" s="11">
        <v>1</v>
      </c>
      <c r="E353" s="11" t="s">
        <v>4</v>
      </c>
      <c r="F353" s="12">
        <v>38300</v>
      </c>
      <c r="G353" s="12">
        <v>38300</v>
      </c>
      <c r="H353" s="11" t="str">
        <f t="shared" si="14"/>
        <v>平成4年12月5日</v>
      </c>
      <c r="I353" s="22">
        <f t="shared" si="15"/>
        <v>33943</v>
      </c>
      <c r="J353" s="1" t="str">
        <f>"00737179"</f>
        <v>00737179</v>
      </c>
      <c r="K353" s="1" t="str">
        <f>"４２５　　　　　　　　　　　　　　　　　"</f>
        <v>４２５　　　　　　　　　　　　　　　　　</v>
      </c>
      <c r="L353" s="1"/>
    </row>
    <row r="354" spans="1:12" ht="18" customHeight="1" x14ac:dyDescent="0.15">
      <c r="A354" s="11">
        <v>423</v>
      </c>
      <c r="B354" s="11" t="s">
        <v>28</v>
      </c>
      <c r="C354" s="11" t="s">
        <v>140</v>
      </c>
      <c r="D354" s="11">
        <v>1</v>
      </c>
      <c r="E354" s="11" t="s">
        <v>4</v>
      </c>
      <c r="F354" s="12">
        <v>38300</v>
      </c>
      <c r="G354" s="12">
        <v>38300</v>
      </c>
      <c r="H354" s="11" t="str">
        <f t="shared" si="14"/>
        <v>平成4年12月5日</v>
      </c>
      <c r="I354" s="22">
        <f t="shared" si="15"/>
        <v>33943</v>
      </c>
      <c r="J354" s="1" t="str">
        <f>"00737181"</f>
        <v>00737181</v>
      </c>
      <c r="K354" s="1" t="str">
        <f>"４２６　　　　　　　　　　　　　　　　　"</f>
        <v>４２６　　　　　　　　　　　　　　　　　</v>
      </c>
      <c r="L354" s="1"/>
    </row>
    <row r="355" spans="1:12" ht="18" customHeight="1" x14ac:dyDescent="0.15">
      <c r="A355" s="11">
        <v>424</v>
      </c>
      <c r="B355" s="11" t="s">
        <v>28</v>
      </c>
      <c r="C355" s="11" t="s">
        <v>140</v>
      </c>
      <c r="D355" s="11">
        <v>1</v>
      </c>
      <c r="E355" s="11" t="s">
        <v>4</v>
      </c>
      <c r="F355" s="12">
        <v>38300</v>
      </c>
      <c r="G355" s="12">
        <v>38300</v>
      </c>
      <c r="H355" s="11" t="str">
        <f t="shared" si="14"/>
        <v>平成4年12月5日</v>
      </c>
      <c r="I355" s="22">
        <f t="shared" si="15"/>
        <v>33943</v>
      </c>
      <c r="J355" s="1" t="str">
        <f>"00737183"</f>
        <v>00737183</v>
      </c>
      <c r="K355" s="1" t="str">
        <f>"４２７　　　　　　　　　　　　　　　　　"</f>
        <v>４２７　　　　　　　　　　　　　　　　　</v>
      </c>
      <c r="L355" s="1"/>
    </row>
    <row r="356" spans="1:12" ht="18" customHeight="1" x14ac:dyDescent="0.15">
      <c r="A356" s="11">
        <v>425</v>
      </c>
      <c r="B356" s="11" t="s">
        <v>28</v>
      </c>
      <c r="C356" s="11" t="s">
        <v>140</v>
      </c>
      <c r="D356" s="11">
        <v>1</v>
      </c>
      <c r="E356" s="11" t="s">
        <v>4</v>
      </c>
      <c r="F356" s="12">
        <v>38300</v>
      </c>
      <c r="G356" s="12">
        <v>38300</v>
      </c>
      <c r="H356" s="11" t="str">
        <f t="shared" si="14"/>
        <v>平成4年12月5日</v>
      </c>
      <c r="I356" s="22">
        <f t="shared" si="15"/>
        <v>33943</v>
      </c>
      <c r="J356" s="1" t="str">
        <f>"00737185"</f>
        <v>00737185</v>
      </c>
      <c r="K356" s="1" t="str">
        <f>"４２８　　　　　　　　　　　　　　　　　"</f>
        <v>４２８　　　　　　　　　　　　　　　　　</v>
      </c>
      <c r="L356" s="1"/>
    </row>
    <row r="357" spans="1:12" ht="18" customHeight="1" x14ac:dyDescent="0.15">
      <c r="A357" s="11">
        <v>426</v>
      </c>
      <c r="B357" s="11" t="s">
        <v>28</v>
      </c>
      <c r="C357" s="11" t="s">
        <v>140</v>
      </c>
      <c r="D357" s="11">
        <v>1</v>
      </c>
      <c r="E357" s="11" t="s">
        <v>4</v>
      </c>
      <c r="F357" s="12">
        <v>38300</v>
      </c>
      <c r="G357" s="12">
        <v>38300</v>
      </c>
      <c r="H357" s="11" t="str">
        <f t="shared" si="14"/>
        <v>平成4年12月5日</v>
      </c>
      <c r="I357" s="22">
        <f t="shared" si="15"/>
        <v>33943</v>
      </c>
      <c r="J357" s="1" t="str">
        <f>"00737187"</f>
        <v>00737187</v>
      </c>
      <c r="K357" s="1" t="str">
        <f>"４２９　　　　　　　　　　　　　　　　　"</f>
        <v>４２９　　　　　　　　　　　　　　　　　</v>
      </c>
      <c r="L357" s="1"/>
    </row>
    <row r="358" spans="1:12" ht="18" customHeight="1" x14ac:dyDescent="0.15">
      <c r="A358" s="11">
        <v>427</v>
      </c>
      <c r="B358" s="11" t="s">
        <v>28</v>
      </c>
      <c r="C358" s="11" t="s">
        <v>140</v>
      </c>
      <c r="D358" s="11">
        <v>1</v>
      </c>
      <c r="E358" s="11" t="s">
        <v>4</v>
      </c>
      <c r="F358" s="12">
        <v>38300</v>
      </c>
      <c r="G358" s="12">
        <v>38300</v>
      </c>
      <c r="H358" s="11" t="str">
        <f t="shared" si="14"/>
        <v>平成4年12月5日</v>
      </c>
      <c r="I358" s="22">
        <f t="shared" si="15"/>
        <v>33943</v>
      </c>
      <c r="J358" s="1" t="str">
        <f>"00737189"</f>
        <v>00737189</v>
      </c>
      <c r="K358" s="1" t="str">
        <f>"４３０　　　　　　　　　　　　　　　　　"</f>
        <v>４３０　　　　　　　　　　　　　　　　　</v>
      </c>
      <c r="L358" s="1"/>
    </row>
    <row r="359" spans="1:12" ht="18" customHeight="1" x14ac:dyDescent="0.15">
      <c r="A359" s="11">
        <v>428</v>
      </c>
      <c r="B359" s="11" t="s">
        <v>28</v>
      </c>
      <c r="C359" s="11" t="s">
        <v>140</v>
      </c>
      <c r="D359" s="11">
        <v>1</v>
      </c>
      <c r="E359" s="11" t="s">
        <v>4</v>
      </c>
      <c r="F359" s="12">
        <v>38300</v>
      </c>
      <c r="G359" s="12">
        <v>38300</v>
      </c>
      <c r="H359" s="11" t="str">
        <f t="shared" si="14"/>
        <v>平成4年12月5日</v>
      </c>
      <c r="I359" s="22">
        <f t="shared" si="15"/>
        <v>33943</v>
      </c>
      <c r="J359" s="1" t="str">
        <f>"00737191"</f>
        <v>00737191</v>
      </c>
      <c r="K359" s="1" t="str">
        <f>"４３１　　　　　　　　　　　　　　　　　"</f>
        <v>４３１　　　　　　　　　　　　　　　　　</v>
      </c>
      <c r="L359" s="1"/>
    </row>
    <row r="360" spans="1:12" ht="18" customHeight="1" x14ac:dyDescent="0.15">
      <c r="A360" s="11">
        <v>429</v>
      </c>
      <c r="B360" s="11" t="s">
        <v>28</v>
      </c>
      <c r="C360" s="11" t="s">
        <v>140</v>
      </c>
      <c r="D360" s="11">
        <v>1</v>
      </c>
      <c r="E360" s="11" t="s">
        <v>4</v>
      </c>
      <c r="F360" s="12">
        <v>38300</v>
      </c>
      <c r="G360" s="12">
        <v>38300</v>
      </c>
      <c r="H360" s="11" t="str">
        <f t="shared" si="14"/>
        <v>平成4年12月5日</v>
      </c>
      <c r="I360" s="22">
        <f t="shared" si="15"/>
        <v>33943</v>
      </c>
      <c r="J360" s="1" t="str">
        <f>"00737193"</f>
        <v>00737193</v>
      </c>
      <c r="K360" s="1" t="str">
        <f>"４３２　　　　　　　　　　　　　　　　　"</f>
        <v>４３２　　　　　　　　　　　　　　　　　</v>
      </c>
      <c r="L360" s="1"/>
    </row>
    <row r="361" spans="1:12" ht="18" customHeight="1" x14ac:dyDescent="0.15">
      <c r="A361" s="11">
        <v>430</v>
      </c>
      <c r="B361" s="11" t="s">
        <v>28</v>
      </c>
      <c r="C361" s="11" t="s">
        <v>140</v>
      </c>
      <c r="D361" s="11">
        <v>1</v>
      </c>
      <c r="E361" s="11" t="s">
        <v>4</v>
      </c>
      <c r="F361" s="12">
        <v>38300</v>
      </c>
      <c r="G361" s="12">
        <v>38300</v>
      </c>
      <c r="H361" s="11" t="str">
        <f t="shared" si="14"/>
        <v>平成4年12月5日</v>
      </c>
      <c r="I361" s="22">
        <f t="shared" si="15"/>
        <v>33943</v>
      </c>
      <c r="J361" s="1" t="str">
        <f>"00737195"</f>
        <v>00737195</v>
      </c>
      <c r="K361" s="1" t="str">
        <f>"４３３　　　　　　　　　　　　　　　　　"</f>
        <v>４３３　　　　　　　　　　　　　　　　　</v>
      </c>
      <c r="L361" s="1"/>
    </row>
    <row r="362" spans="1:12" ht="18" customHeight="1" x14ac:dyDescent="0.15">
      <c r="A362" s="11">
        <v>431</v>
      </c>
      <c r="B362" s="11" t="s">
        <v>28</v>
      </c>
      <c r="C362" s="11" t="s">
        <v>140</v>
      </c>
      <c r="D362" s="11">
        <v>1</v>
      </c>
      <c r="E362" s="11" t="s">
        <v>4</v>
      </c>
      <c r="F362" s="12">
        <v>38300</v>
      </c>
      <c r="G362" s="12">
        <v>38300</v>
      </c>
      <c r="H362" s="11" t="str">
        <f t="shared" si="14"/>
        <v>平成4年12月5日</v>
      </c>
      <c r="I362" s="22">
        <f t="shared" si="15"/>
        <v>33943</v>
      </c>
      <c r="J362" s="1" t="str">
        <f>"00737197"</f>
        <v>00737197</v>
      </c>
      <c r="K362" s="1" t="str">
        <f>"４３４　　　　　　　　　　　　　　　　　"</f>
        <v>４３４　　　　　　　　　　　　　　　　　</v>
      </c>
      <c r="L362" s="1"/>
    </row>
    <row r="363" spans="1:12" ht="18" customHeight="1" x14ac:dyDescent="0.15">
      <c r="A363" s="11">
        <v>432</v>
      </c>
      <c r="B363" s="11" t="s">
        <v>28</v>
      </c>
      <c r="C363" s="11" t="s">
        <v>140</v>
      </c>
      <c r="D363" s="11">
        <v>1</v>
      </c>
      <c r="E363" s="11" t="s">
        <v>4</v>
      </c>
      <c r="F363" s="12">
        <v>38300</v>
      </c>
      <c r="G363" s="12">
        <v>38300</v>
      </c>
      <c r="H363" s="11" t="str">
        <f t="shared" si="14"/>
        <v>平成4年12月5日</v>
      </c>
      <c r="I363" s="22">
        <f t="shared" si="15"/>
        <v>33943</v>
      </c>
      <c r="J363" s="1" t="str">
        <f>"00737199"</f>
        <v>00737199</v>
      </c>
      <c r="K363" s="1" t="str">
        <f>"４３５　　　　　　　　　　　　　　　　　"</f>
        <v>４３５　　　　　　　　　　　　　　　　　</v>
      </c>
      <c r="L363" s="1"/>
    </row>
    <row r="364" spans="1:12" ht="18" customHeight="1" x14ac:dyDescent="0.15">
      <c r="A364" s="11">
        <v>433</v>
      </c>
      <c r="B364" s="11" t="s">
        <v>28</v>
      </c>
      <c r="C364" s="11" t="s">
        <v>140</v>
      </c>
      <c r="D364" s="11">
        <v>1</v>
      </c>
      <c r="E364" s="11" t="s">
        <v>4</v>
      </c>
      <c r="F364" s="12">
        <v>38300</v>
      </c>
      <c r="G364" s="12">
        <v>38300</v>
      </c>
      <c r="H364" s="11" t="str">
        <f t="shared" si="14"/>
        <v>平成4年12月5日</v>
      </c>
      <c r="I364" s="22">
        <f t="shared" si="15"/>
        <v>33943</v>
      </c>
      <c r="J364" s="1" t="str">
        <f>"00737201"</f>
        <v>00737201</v>
      </c>
      <c r="K364" s="1" t="str">
        <f>"４３６　　　　　　　　　　　　　　　　　"</f>
        <v>４３６　　　　　　　　　　　　　　　　　</v>
      </c>
      <c r="L364" s="1"/>
    </row>
    <row r="365" spans="1:12" ht="18" customHeight="1" x14ac:dyDescent="0.15">
      <c r="A365" s="11">
        <v>434</v>
      </c>
      <c r="B365" s="11" t="s">
        <v>28</v>
      </c>
      <c r="C365" s="11" t="s">
        <v>140</v>
      </c>
      <c r="D365" s="11">
        <v>1</v>
      </c>
      <c r="E365" s="11" t="s">
        <v>4</v>
      </c>
      <c r="F365" s="12">
        <v>38300</v>
      </c>
      <c r="G365" s="12">
        <v>38300</v>
      </c>
      <c r="H365" s="11" t="str">
        <f t="shared" si="14"/>
        <v>平成4年12月5日</v>
      </c>
      <c r="I365" s="22">
        <f t="shared" si="15"/>
        <v>33943</v>
      </c>
      <c r="J365" s="1" t="str">
        <f>"00737203"</f>
        <v>00737203</v>
      </c>
      <c r="K365" s="1" t="str">
        <f>"４３７　　　　　　　　　　　　　　　　　"</f>
        <v>４３７　　　　　　　　　　　　　　　　　</v>
      </c>
      <c r="L365" s="1"/>
    </row>
    <row r="366" spans="1:12" ht="18" customHeight="1" x14ac:dyDescent="0.15">
      <c r="A366" s="11">
        <v>435</v>
      </c>
      <c r="B366" s="11" t="s">
        <v>28</v>
      </c>
      <c r="C366" s="11" t="s">
        <v>140</v>
      </c>
      <c r="D366" s="11">
        <v>1</v>
      </c>
      <c r="E366" s="11" t="s">
        <v>4</v>
      </c>
      <c r="F366" s="12">
        <v>38300</v>
      </c>
      <c r="G366" s="12">
        <v>38300</v>
      </c>
      <c r="H366" s="11" t="str">
        <f t="shared" ref="H366:H429" si="16">"平成4年12月5日"</f>
        <v>平成4年12月5日</v>
      </c>
      <c r="I366" s="22">
        <f t="shared" si="15"/>
        <v>33943</v>
      </c>
      <c r="J366" s="1" t="str">
        <f>"00737205"</f>
        <v>00737205</v>
      </c>
      <c r="K366" s="1" t="str">
        <f>"４３８　　　　　　　　　　　　　　　　　"</f>
        <v>４３８　　　　　　　　　　　　　　　　　</v>
      </c>
      <c r="L366" s="1"/>
    </row>
    <row r="367" spans="1:12" ht="18" customHeight="1" x14ac:dyDescent="0.15">
      <c r="A367" s="11">
        <v>436</v>
      </c>
      <c r="B367" s="11" t="s">
        <v>28</v>
      </c>
      <c r="C367" s="11" t="s">
        <v>140</v>
      </c>
      <c r="D367" s="11">
        <v>1</v>
      </c>
      <c r="E367" s="11" t="s">
        <v>4</v>
      </c>
      <c r="F367" s="12">
        <v>38300</v>
      </c>
      <c r="G367" s="12">
        <v>38300</v>
      </c>
      <c r="H367" s="11" t="str">
        <f t="shared" si="16"/>
        <v>平成4年12月5日</v>
      </c>
      <c r="I367" s="22">
        <f t="shared" si="15"/>
        <v>33943</v>
      </c>
      <c r="J367" s="1" t="str">
        <f>"00737207"</f>
        <v>00737207</v>
      </c>
      <c r="K367" s="1" t="str">
        <f>"４３９　　　　　　　　　　　　　　　　　"</f>
        <v>４３９　　　　　　　　　　　　　　　　　</v>
      </c>
      <c r="L367" s="1"/>
    </row>
    <row r="368" spans="1:12" ht="18" customHeight="1" x14ac:dyDescent="0.15">
      <c r="A368" s="11">
        <v>437</v>
      </c>
      <c r="B368" s="11" t="s">
        <v>28</v>
      </c>
      <c r="C368" s="11" t="s">
        <v>140</v>
      </c>
      <c r="D368" s="11">
        <v>1</v>
      </c>
      <c r="E368" s="11" t="s">
        <v>4</v>
      </c>
      <c r="F368" s="12">
        <v>38300</v>
      </c>
      <c r="G368" s="12">
        <v>38300</v>
      </c>
      <c r="H368" s="11" t="str">
        <f t="shared" si="16"/>
        <v>平成4年12月5日</v>
      </c>
      <c r="I368" s="22">
        <f t="shared" si="15"/>
        <v>33943</v>
      </c>
      <c r="J368" s="1" t="str">
        <f>"00737209"</f>
        <v>00737209</v>
      </c>
      <c r="K368" s="1" t="str">
        <f>"４４０　　　　　　　　　　　　　　　　　"</f>
        <v>４４０　　　　　　　　　　　　　　　　　</v>
      </c>
      <c r="L368" s="1"/>
    </row>
    <row r="369" spans="1:12" ht="18" customHeight="1" x14ac:dyDescent="0.15">
      <c r="A369" s="11">
        <v>438</v>
      </c>
      <c r="B369" s="11" t="s">
        <v>28</v>
      </c>
      <c r="C369" s="11" t="s">
        <v>140</v>
      </c>
      <c r="D369" s="11">
        <v>1</v>
      </c>
      <c r="E369" s="11" t="s">
        <v>4</v>
      </c>
      <c r="F369" s="12">
        <v>38300</v>
      </c>
      <c r="G369" s="12">
        <v>38300</v>
      </c>
      <c r="H369" s="11" t="str">
        <f t="shared" si="16"/>
        <v>平成4年12月5日</v>
      </c>
      <c r="I369" s="22">
        <f t="shared" si="15"/>
        <v>33943</v>
      </c>
      <c r="J369" s="1" t="str">
        <f>"00737211"</f>
        <v>00737211</v>
      </c>
      <c r="K369" s="1" t="str">
        <f>"４４１　　　　　　　　　　　　　　　　　"</f>
        <v>４４１　　　　　　　　　　　　　　　　　</v>
      </c>
      <c r="L369" s="1"/>
    </row>
    <row r="370" spans="1:12" ht="18" customHeight="1" x14ac:dyDescent="0.15">
      <c r="A370" s="11">
        <v>439</v>
      </c>
      <c r="B370" s="11" t="s">
        <v>28</v>
      </c>
      <c r="C370" s="11" t="s">
        <v>140</v>
      </c>
      <c r="D370" s="11">
        <v>1</v>
      </c>
      <c r="E370" s="11" t="s">
        <v>4</v>
      </c>
      <c r="F370" s="12">
        <v>38300</v>
      </c>
      <c r="G370" s="12">
        <v>38300</v>
      </c>
      <c r="H370" s="11" t="str">
        <f t="shared" si="16"/>
        <v>平成4年12月5日</v>
      </c>
      <c r="I370" s="22">
        <f t="shared" si="15"/>
        <v>33943</v>
      </c>
      <c r="J370" s="1" t="str">
        <f>"00737213"</f>
        <v>00737213</v>
      </c>
      <c r="K370" s="1" t="str">
        <f>"４４２　　　　　　　　　　　　　　　　　"</f>
        <v>４４２　　　　　　　　　　　　　　　　　</v>
      </c>
      <c r="L370" s="1"/>
    </row>
    <row r="371" spans="1:12" ht="18" customHeight="1" x14ac:dyDescent="0.15">
      <c r="A371" s="11">
        <v>440</v>
      </c>
      <c r="B371" s="11" t="s">
        <v>28</v>
      </c>
      <c r="C371" s="11" t="s">
        <v>140</v>
      </c>
      <c r="D371" s="11">
        <v>1</v>
      </c>
      <c r="E371" s="11" t="s">
        <v>4</v>
      </c>
      <c r="F371" s="12">
        <v>38300</v>
      </c>
      <c r="G371" s="12">
        <v>38300</v>
      </c>
      <c r="H371" s="11" t="str">
        <f t="shared" si="16"/>
        <v>平成4年12月5日</v>
      </c>
      <c r="I371" s="22">
        <f t="shared" si="15"/>
        <v>33943</v>
      </c>
      <c r="J371" s="1" t="str">
        <f>"00737215"</f>
        <v>00737215</v>
      </c>
      <c r="K371" s="1" t="str">
        <f>"４４３　　　　　　　　　　　　　　　　　"</f>
        <v>４４３　　　　　　　　　　　　　　　　　</v>
      </c>
      <c r="L371" s="1"/>
    </row>
    <row r="372" spans="1:12" ht="18" customHeight="1" x14ac:dyDescent="0.15">
      <c r="A372" s="11">
        <v>441</v>
      </c>
      <c r="B372" s="11" t="s">
        <v>28</v>
      </c>
      <c r="C372" s="11" t="s">
        <v>140</v>
      </c>
      <c r="D372" s="11">
        <v>1</v>
      </c>
      <c r="E372" s="11" t="s">
        <v>4</v>
      </c>
      <c r="F372" s="12">
        <v>38300</v>
      </c>
      <c r="G372" s="12">
        <v>38300</v>
      </c>
      <c r="H372" s="11" t="str">
        <f t="shared" si="16"/>
        <v>平成4年12月5日</v>
      </c>
      <c r="I372" s="22">
        <f t="shared" si="15"/>
        <v>33943</v>
      </c>
      <c r="J372" s="1" t="str">
        <f>"00737217"</f>
        <v>00737217</v>
      </c>
      <c r="K372" s="1" t="str">
        <f>"４４４　　　　　　　　　　　　　　　　　"</f>
        <v>４４４　　　　　　　　　　　　　　　　　</v>
      </c>
      <c r="L372" s="1"/>
    </row>
    <row r="373" spans="1:12" ht="18" customHeight="1" x14ac:dyDescent="0.15">
      <c r="A373" s="11">
        <v>442</v>
      </c>
      <c r="B373" s="11" t="s">
        <v>28</v>
      </c>
      <c r="C373" s="11" t="s">
        <v>140</v>
      </c>
      <c r="D373" s="11">
        <v>1</v>
      </c>
      <c r="E373" s="11" t="s">
        <v>4</v>
      </c>
      <c r="F373" s="12">
        <v>38300</v>
      </c>
      <c r="G373" s="12">
        <v>38300</v>
      </c>
      <c r="H373" s="11" t="str">
        <f t="shared" si="16"/>
        <v>平成4年12月5日</v>
      </c>
      <c r="I373" s="22">
        <f t="shared" si="15"/>
        <v>33943</v>
      </c>
      <c r="J373" s="1" t="str">
        <f>"00737219"</f>
        <v>00737219</v>
      </c>
      <c r="K373" s="1" t="str">
        <f>"４４５　　　　　　　　　　　　　　　　　"</f>
        <v>４４５　　　　　　　　　　　　　　　　　</v>
      </c>
      <c r="L373" s="1"/>
    </row>
    <row r="374" spans="1:12" ht="18" customHeight="1" x14ac:dyDescent="0.15">
      <c r="A374" s="11">
        <v>443</v>
      </c>
      <c r="B374" s="11" t="s">
        <v>28</v>
      </c>
      <c r="C374" s="11" t="s">
        <v>140</v>
      </c>
      <c r="D374" s="11">
        <v>1</v>
      </c>
      <c r="E374" s="11" t="s">
        <v>4</v>
      </c>
      <c r="F374" s="12">
        <v>38300</v>
      </c>
      <c r="G374" s="12">
        <v>38300</v>
      </c>
      <c r="H374" s="11" t="str">
        <f t="shared" si="16"/>
        <v>平成4年12月5日</v>
      </c>
      <c r="I374" s="22">
        <f t="shared" si="15"/>
        <v>33943</v>
      </c>
      <c r="J374" s="1" t="str">
        <f>"00737221"</f>
        <v>00737221</v>
      </c>
      <c r="K374" s="1" t="str">
        <f>"４４６　　　　　　　　　　　　　　　　　"</f>
        <v>４４６　　　　　　　　　　　　　　　　　</v>
      </c>
      <c r="L374" s="1"/>
    </row>
    <row r="375" spans="1:12" ht="18" customHeight="1" x14ac:dyDescent="0.15">
      <c r="A375" s="11">
        <v>444</v>
      </c>
      <c r="B375" s="11" t="s">
        <v>28</v>
      </c>
      <c r="C375" s="11" t="s">
        <v>140</v>
      </c>
      <c r="D375" s="11">
        <v>1</v>
      </c>
      <c r="E375" s="11" t="s">
        <v>4</v>
      </c>
      <c r="F375" s="12">
        <v>38300</v>
      </c>
      <c r="G375" s="12">
        <v>38300</v>
      </c>
      <c r="H375" s="11" t="str">
        <f t="shared" si="16"/>
        <v>平成4年12月5日</v>
      </c>
      <c r="I375" s="22">
        <f t="shared" si="15"/>
        <v>33943</v>
      </c>
      <c r="J375" s="1" t="str">
        <f>"00737223"</f>
        <v>00737223</v>
      </c>
      <c r="K375" s="1" t="str">
        <f>"４４７　　　　　　　　　　　　　　　　　"</f>
        <v>４４７　　　　　　　　　　　　　　　　　</v>
      </c>
      <c r="L375" s="1"/>
    </row>
    <row r="376" spans="1:12" ht="18" customHeight="1" x14ac:dyDescent="0.15">
      <c r="A376" s="11">
        <v>445</v>
      </c>
      <c r="B376" s="11" t="s">
        <v>28</v>
      </c>
      <c r="C376" s="11" t="s">
        <v>140</v>
      </c>
      <c r="D376" s="11">
        <v>1</v>
      </c>
      <c r="E376" s="11" t="s">
        <v>4</v>
      </c>
      <c r="F376" s="12">
        <v>38300</v>
      </c>
      <c r="G376" s="12">
        <v>38300</v>
      </c>
      <c r="H376" s="11" t="str">
        <f t="shared" si="16"/>
        <v>平成4年12月5日</v>
      </c>
      <c r="I376" s="22">
        <f t="shared" si="15"/>
        <v>33943</v>
      </c>
      <c r="J376" s="1" t="str">
        <f>"00737225"</f>
        <v>00737225</v>
      </c>
      <c r="K376" s="1" t="str">
        <f>"４４８　　　　　　　　　　　　　　　　　"</f>
        <v>４４８　　　　　　　　　　　　　　　　　</v>
      </c>
      <c r="L376" s="1"/>
    </row>
    <row r="377" spans="1:12" ht="18" customHeight="1" x14ac:dyDescent="0.15">
      <c r="A377" s="11">
        <v>446</v>
      </c>
      <c r="B377" s="11" t="s">
        <v>28</v>
      </c>
      <c r="C377" s="11" t="s">
        <v>140</v>
      </c>
      <c r="D377" s="11">
        <v>1</v>
      </c>
      <c r="E377" s="11" t="s">
        <v>4</v>
      </c>
      <c r="F377" s="12">
        <v>38300</v>
      </c>
      <c r="G377" s="12">
        <v>38300</v>
      </c>
      <c r="H377" s="11" t="str">
        <f t="shared" si="16"/>
        <v>平成4年12月5日</v>
      </c>
      <c r="I377" s="22">
        <f t="shared" si="15"/>
        <v>33943</v>
      </c>
      <c r="J377" s="1" t="str">
        <f>"00737227"</f>
        <v>00737227</v>
      </c>
      <c r="K377" s="1" t="str">
        <f>"４４９　　　　　　　　　　　　　　　　　"</f>
        <v>４４９　　　　　　　　　　　　　　　　　</v>
      </c>
      <c r="L377" s="1"/>
    </row>
    <row r="378" spans="1:12" ht="18" customHeight="1" x14ac:dyDescent="0.15">
      <c r="A378" s="11">
        <v>447</v>
      </c>
      <c r="B378" s="11" t="s">
        <v>28</v>
      </c>
      <c r="C378" s="11" t="s">
        <v>140</v>
      </c>
      <c r="D378" s="11">
        <v>1</v>
      </c>
      <c r="E378" s="11" t="s">
        <v>4</v>
      </c>
      <c r="F378" s="12">
        <v>38300</v>
      </c>
      <c r="G378" s="12">
        <v>38300</v>
      </c>
      <c r="H378" s="11" t="str">
        <f t="shared" si="16"/>
        <v>平成4年12月5日</v>
      </c>
      <c r="I378" s="22">
        <f t="shared" si="15"/>
        <v>33943</v>
      </c>
      <c r="J378" s="1" t="str">
        <f>"00737229"</f>
        <v>00737229</v>
      </c>
      <c r="K378" s="1" t="str">
        <f>"４５０　　　　　　　　　　　　　　　　　"</f>
        <v>４５０　　　　　　　　　　　　　　　　　</v>
      </c>
      <c r="L378" s="1"/>
    </row>
    <row r="379" spans="1:12" ht="18" customHeight="1" x14ac:dyDescent="0.15">
      <c r="A379" s="11">
        <v>448</v>
      </c>
      <c r="B379" s="11" t="s">
        <v>28</v>
      </c>
      <c r="C379" s="11" t="s">
        <v>140</v>
      </c>
      <c r="D379" s="11">
        <v>1</v>
      </c>
      <c r="E379" s="11" t="s">
        <v>4</v>
      </c>
      <c r="F379" s="12">
        <v>38300</v>
      </c>
      <c r="G379" s="12">
        <v>38300</v>
      </c>
      <c r="H379" s="11" t="str">
        <f t="shared" si="16"/>
        <v>平成4年12月5日</v>
      </c>
      <c r="I379" s="22">
        <f t="shared" si="15"/>
        <v>33943</v>
      </c>
      <c r="J379" s="1" t="str">
        <f>"00737231"</f>
        <v>00737231</v>
      </c>
      <c r="K379" s="1" t="str">
        <f>"４５１　　　　　　　　　　　　　　　　　"</f>
        <v>４５１　　　　　　　　　　　　　　　　　</v>
      </c>
      <c r="L379" s="1"/>
    </row>
    <row r="380" spans="1:12" ht="18" customHeight="1" x14ac:dyDescent="0.15">
      <c r="A380" s="11">
        <v>449</v>
      </c>
      <c r="B380" s="11" t="s">
        <v>28</v>
      </c>
      <c r="C380" s="11" t="s">
        <v>140</v>
      </c>
      <c r="D380" s="11">
        <v>1</v>
      </c>
      <c r="E380" s="11" t="s">
        <v>4</v>
      </c>
      <c r="F380" s="12">
        <v>38300</v>
      </c>
      <c r="G380" s="12">
        <v>38300</v>
      </c>
      <c r="H380" s="11" t="str">
        <f t="shared" si="16"/>
        <v>平成4年12月5日</v>
      </c>
      <c r="I380" s="22">
        <f t="shared" si="15"/>
        <v>33943</v>
      </c>
      <c r="J380" s="1" t="str">
        <f>"00737233"</f>
        <v>00737233</v>
      </c>
      <c r="K380" s="1" t="str">
        <f>"４５２　　　　　　　　　　　　　　　　　"</f>
        <v>４５２　　　　　　　　　　　　　　　　　</v>
      </c>
      <c r="L380" s="1"/>
    </row>
    <row r="381" spans="1:12" ht="18" customHeight="1" x14ac:dyDescent="0.15">
      <c r="A381" s="11">
        <v>450</v>
      </c>
      <c r="B381" s="11" t="s">
        <v>28</v>
      </c>
      <c r="C381" s="11" t="s">
        <v>140</v>
      </c>
      <c r="D381" s="11">
        <v>1</v>
      </c>
      <c r="E381" s="11" t="s">
        <v>4</v>
      </c>
      <c r="F381" s="12">
        <v>38300</v>
      </c>
      <c r="G381" s="12">
        <v>38300</v>
      </c>
      <c r="H381" s="11" t="str">
        <f t="shared" si="16"/>
        <v>平成4年12月5日</v>
      </c>
      <c r="I381" s="22">
        <f t="shared" si="15"/>
        <v>33943</v>
      </c>
      <c r="J381" s="1" t="str">
        <f>"00737235"</f>
        <v>00737235</v>
      </c>
      <c r="K381" s="1" t="str">
        <f>"４５３　　　　　　　　　　　　　　　　　"</f>
        <v>４５３　　　　　　　　　　　　　　　　　</v>
      </c>
      <c r="L381" s="1"/>
    </row>
    <row r="382" spans="1:12" ht="18" customHeight="1" x14ac:dyDescent="0.15">
      <c r="A382" s="11">
        <v>451</v>
      </c>
      <c r="B382" s="11" t="s">
        <v>28</v>
      </c>
      <c r="C382" s="11" t="s">
        <v>140</v>
      </c>
      <c r="D382" s="11">
        <v>1</v>
      </c>
      <c r="E382" s="11" t="s">
        <v>4</v>
      </c>
      <c r="F382" s="12">
        <v>38300</v>
      </c>
      <c r="G382" s="12">
        <v>38300</v>
      </c>
      <c r="H382" s="11" t="str">
        <f t="shared" si="16"/>
        <v>平成4年12月5日</v>
      </c>
      <c r="I382" s="22">
        <f t="shared" si="15"/>
        <v>33943</v>
      </c>
      <c r="J382" s="1" t="str">
        <f>"00737237"</f>
        <v>00737237</v>
      </c>
      <c r="K382" s="1" t="str">
        <f>"４５４　　　　　　　　　　　　　　　　　"</f>
        <v>４５４　　　　　　　　　　　　　　　　　</v>
      </c>
      <c r="L382" s="1"/>
    </row>
    <row r="383" spans="1:12" ht="18" customHeight="1" x14ac:dyDescent="0.15">
      <c r="A383" s="11">
        <v>452</v>
      </c>
      <c r="B383" s="11" t="s">
        <v>28</v>
      </c>
      <c r="C383" s="11" t="s">
        <v>140</v>
      </c>
      <c r="D383" s="11">
        <v>1</v>
      </c>
      <c r="E383" s="11" t="s">
        <v>4</v>
      </c>
      <c r="F383" s="12">
        <v>38300</v>
      </c>
      <c r="G383" s="12">
        <v>38300</v>
      </c>
      <c r="H383" s="11" t="str">
        <f t="shared" si="16"/>
        <v>平成4年12月5日</v>
      </c>
      <c r="I383" s="22">
        <f t="shared" si="15"/>
        <v>33943</v>
      </c>
      <c r="J383" s="1" t="str">
        <f>"00737239"</f>
        <v>00737239</v>
      </c>
      <c r="K383" s="1" t="str">
        <f>"４５５　　　　　　　　　　　　　　　　　"</f>
        <v>４５５　　　　　　　　　　　　　　　　　</v>
      </c>
      <c r="L383" s="1"/>
    </row>
    <row r="384" spans="1:12" ht="18" customHeight="1" x14ac:dyDescent="0.15">
      <c r="A384" s="11">
        <v>453</v>
      </c>
      <c r="B384" s="11" t="s">
        <v>28</v>
      </c>
      <c r="C384" s="11" t="s">
        <v>140</v>
      </c>
      <c r="D384" s="11">
        <v>1</v>
      </c>
      <c r="E384" s="11" t="s">
        <v>4</v>
      </c>
      <c r="F384" s="12">
        <v>38300</v>
      </c>
      <c r="G384" s="12">
        <v>38300</v>
      </c>
      <c r="H384" s="11" t="str">
        <f t="shared" si="16"/>
        <v>平成4年12月5日</v>
      </c>
      <c r="I384" s="22">
        <f t="shared" si="15"/>
        <v>33943</v>
      </c>
      <c r="J384" s="1" t="str">
        <f>"00737241"</f>
        <v>00737241</v>
      </c>
      <c r="K384" s="1" t="str">
        <f>"４５６　　　　　　　　　　　　　　　　　"</f>
        <v>４５６　　　　　　　　　　　　　　　　　</v>
      </c>
      <c r="L384" s="1"/>
    </row>
    <row r="385" spans="1:12" ht="18" customHeight="1" x14ac:dyDescent="0.15">
      <c r="A385" s="11">
        <v>454</v>
      </c>
      <c r="B385" s="11" t="s">
        <v>28</v>
      </c>
      <c r="C385" s="11" t="s">
        <v>140</v>
      </c>
      <c r="D385" s="11">
        <v>1</v>
      </c>
      <c r="E385" s="11" t="s">
        <v>4</v>
      </c>
      <c r="F385" s="12">
        <v>38300</v>
      </c>
      <c r="G385" s="12">
        <v>38300</v>
      </c>
      <c r="H385" s="11" t="str">
        <f t="shared" si="16"/>
        <v>平成4年12月5日</v>
      </c>
      <c r="I385" s="22">
        <f t="shared" si="15"/>
        <v>33943</v>
      </c>
      <c r="J385" s="1" t="str">
        <f>"00737243"</f>
        <v>00737243</v>
      </c>
      <c r="K385" s="1" t="str">
        <f>"４５７　　　　　　　　　　　　　　　　　"</f>
        <v>４５７　　　　　　　　　　　　　　　　　</v>
      </c>
      <c r="L385" s="1"/>
    </row>
    <row r="386" spans="1:12" ht="18" customHeight="1" x14ac:dyDescent="0.15">
      <c r="A386" s="11">
        <v>455</v>
      </c>
      <c r="B386" s="11" t="s">
        <v>28</v>
      </c>
      <c r="C386" s="11" t="s">
        <v>140</v>
      </c>
      <c r="D386" s="11">
        <v>1</v>
      </c>
      <c r="E386" s="11" t="s">
        <v>4</v>
      </c>
      <c r="F386" s="12">
        <v>38300</v>
      </c>
      <c r="G386" s="12">
        <v>38300</v>
      </c>
      <c r="H386" s="11" t="str">
        <f t="shared" si="16"/>
        <v>平成4年12月5日</v>
      </c>
      <c r="I386" s="22">
        <f t="shared" si="15"/>
        <v>33943</v>
      </c>
      <c r="J386" s="1" t="str">
        <f>"00737245"</f>
        <v>00737245</v>
      </c>
      <c r="K386" s="1" t="str">
        <f>"４５８　　　　　　　　　　　　　　　　　"</f>
        <v>４５８　　　　　　　　　　　　　　　　　</v>
      </c>
      <c r="L386" s="1"/>
    </row>
    <row r="387" spans="1:12" ht="18" customHeight="1" x14ac:dyDescent="0.15">
      <c r="A387" s="11">
        <v>456</v>
      </c>
      <c r="B387" s="11" t="s">
        <v>28</v>
      </c>
      <c r="C387" s="11" t="s">
        <v>140</v>
      </c>
      <c r="D387" s="11">
        <v>1</v>
      </c>
      <c r="E387" s="11" t="s">
        <v>4</v>
      </c>
      <c r="F387" s="12">
        <v>38300</v>
      </c>
      <c r="G387" s="12">
        <v>38300</v>
      </c>
      <c r="H387" s="11" t="str">
        <f t="shared" si="16"/>
        <v>平成4年12月5日</v>
      </c>
      <c r="I387" s="22">
        <f t="shared" si="15"/>
        <v>33943</v>
      </c>
      <c r="J387" s="1" t="str">
        <f>"00737247"</f>
        <v>00737247</v>
      </c>
      <c r="K387" s="1" t="str">
        <f>"４５９　　　　　　　　　　　　　　　　　"</f>
        <v>４５９　　　　　　　　　　　　　　　　　</v>
      </c>
      <c r="L387" s="1"/>
    </row>
    <row r="388" spans="1:12" ht="18" customHeight="1" x14ac:dyDescent="0.15">
      <c r="A388" s="11">
        <v>457</v>
      </c>
      <c r="B388" s="11" t="s">
        <v>28</v>
      </c>
      <c r="C388" s="11" t="s">
        <v>140</v>
      </c>
      <c r="D388" s="11">
        <v>1</v>
      </c>
      <c r="E388" s="11" t="s">
        <v>4</v>
      </c>
      <c r="F388" s="12">
        <v>38300</v>
      </c>
      <c r="G388" s="12">
        <v>38300</v>
      </c>
      <c r="H388" s="11" t="str">
        <f t="shared" si="16"/>
        <v>平成4年12月5日</v>
      </c>
      <c r="I388" s="22">
        <f t="shared" si="15"/>
        <v>33943</v>
      </c>
      <c r="J388" s="1" t="str">
        <f>"00737249"</f>
        <v>00737249</v>
      </c>
      <c r="K388" s="1" t="str">
        <f>"４６０　　　　　　　　　　　　　　　　　"</f>
        <v>４６０　　　　　　　　　　　　　　　　　</v>
      </c>
      <c r="L388" s="1"/>
    </row>
    <row r="389" spans="1:12" ht="18" customHeight="1" x14ac:dyDescent="0.15">
      <c r="A389" s="11">
        <v>458</v>
      </c>
      <c r="B389" s="11" t="s">
        <v>28</v>
      </c>
      <c r="C389" s="11" t="s">
        <v>140</v>
      </c>
      <c r="D389" s="11">
        <v>1</v>
      </c>
      <c r="E389" s="11" t="s">
        <v>4</v>
      </c>
      <c r="F389" s="12">
        <v>38300</v>
      </c>
      <c r="G389" s="12">
        <v>38300</v>
      </c>
      <c r="H389" s="11" t="str">
        <f t="shared" si="16"/>
        <v>平成4年12月5日</v>
      </c>
      <c r="I389" s="22">
        <f t="shared" si="15"/>
        <v>33943</v>
      </c>
      <c r="J389" s="1" t="str">
        <f>"00737251"</f>
        <v>00737251</v>
      </c>
      <c r="K389" s="1" t="str">
        <f>"４６１　　　　　　　　　　　　　　　　　"</f>
        <v>４６１　　　　　　　　　　　　　　　　　</v>
      </c>
      <c r="L389" s="1"/>
    </row>
    <row r="390" spans="1:12" ht="18" customHeight="1" x14ac:dyDescent="0.15">
      <c r="A390" s="11">
        <v>459</v>
      </c>
      <c r="B390" s="11" t="s">
        <v>28</v>
      </c>
      <c r="C390" s="11" t="s">
        <v>140</v>
      </c>
      <c r="D390" s="11">
        <v>1</v>
      </c>
      <c r="E390" s="11" t="s">
        <v>4</v>
      </c>
      <c r="F390" s="12">
        <v>38300</v>
      </c>
      <c r="G390" s="12">
        <v>38300</v>
      </c>
      <c r="H390" s="11" t="str">
        <f t="shared" si="16"/>
        <v>平成4年12月5日</v>
      </c>
      <c r="I390" s="22">
        <f t="shared" si="15"/>
        <v>33943</v>
      </c>
      <c r="J390" s="1" t="str">
        <f>"00737253"</f>
        <v>00737253</v>
      </c>
      <c r="K390" s="1" t="str">
        <f>"４６２　　　　　　　　　　　　　　　　　"</f>
        <v>４６２　　　　　　　　　　　　　　　　　</v>
      </c>
      <c r="L390" s="1"/>
    </row>
    <row r="391" spans="1:12" ht="18" customHeight="1" x14ac:dyDescent="0.15">
      <c r="A391" s="11">
        <v>460</v>
      </c>
      <c r="B391" s="11" t="s">
        <v>28</v>
      </c>
      <c r="C391" s="11" t="s">
        <v>140</v>
      </c>
      <c r="D391" s="11">
        <v>1</v>
      </c>
      <c r="E391" s="11" t="s">
        <v>4</v>
      </c>
      <c r="F391" s="12">
        <v>38300</v>
      </c>
      <c r="G391" s="12">
        <v>38300</v>
      </c>
      <c r="H391" s="11" t="str">
        <f t="shared" si="16"/>
        <v>平成4年12月5日</v>
      </c>
      <c r="I391" s="22">
        <f t="shared" si="15"/>
        <v>33943</v>
      </c>
      <c r="J391" s="1" t="str">
        <f>"00737255"</f>
        <v>00737255</v>
      </c>
      <c r="K391" s="1" t="str">
        <f>"４６３　　　　　　　　　　　　　　　　　"</f>
        <v>４６３　　　　　　　　　　　　　　　　　</v>
      </c>
      <c r="L391" s="1"/>
    </row>
    <row r="392" spans="1:12" ht="18" customHeight="1" x14ac:dyDescent="0.15">
      <c r="A392" s="11">
        <v>461</v>
      </c>
      <c r="B392" s="11" t="s">
        <v>28</v>
      </c>
      <c r="C392" s="11" t="s">
        <v>140</v>
      </c>
      <c r="D392" s="11">
        <v>1</v>
      </c>
      <c r="E392" s="11" t="s">
        <v>4</v>
      </c>
      <c r="F392" s="12">
        <v>38300</v>
      </c>
      <c r="G392" s="12">
        <v>38300</v>
      </c>
      <c r="H392" s="11" t="str">
        <f t="shared" si="16"/>
        <v>平成4年12月5日</v>
      </c>
      <c r="I392" s="22">
        <f t="shared" si="15"/>
        <v>33943</v>
      </c>
      <c r="J392" s="1" t="str">
        <f>"00737257"</f>
        <v>00737257</v>
      </c>
      <c r="K392" s="1" t="str">
        <f>"４６４　　　　　　　　　　　　　　　　　"</f>
        <v>４６４　　　　　　　　　　　　　　　　　</v>
      </c>
      <c r="L392" s="1"/>
    </row>
    <row r="393" spans="1:12" ht="18" customHeight="1" x14ac:dyDescent="0.15">
      <c r="A393" s="11">
        <v>462</v>
      </c>
      <c r="B393" s="11" t="s">
        <v>28</v>
      </c>
      <c r="C393" s="11" t="s">
        <v>140</v>
      </c>
      <c r="D393" s="11">
        <v>1</v>
      </c>
      <c r="E393" s="11" t="s">
        <v>4</v>
      </c>
      <c r="F393" s="12">
        <v>38300</v>
      </c>
      <c r="G393" s="12">
        <v>38300</v>
      </c>
      <c r="H393" s="11" t="str">
        <f t="shared" si="16"/>
        <v>平成4年12月5日</v>
      </c>
      <c r="I393" s="22">
        <f t="shared" si="15"/>
        <v>33943</v>
      </c>
      <c r="J393" s="1" t="str">
        <f>"00737259"</f>
        <v>00737259</v>
      </c>
      <c r="K393" s="1" t="str">
        <f>"４６５　　　　　　　　　　　　　　　　　"</f>
        <v>４６５　　　　　　　　　　　　　　　　　</v>
      </c>
      <c r="L393" s="1"/>
    </row>
    <row r="394" spans="1:12" ht="18" customHeight="1" x14ac:dyDescent="0.15">
      <c r="A394" s="11">
        <v>463</v>
      </c>
      <c r="B394" s="11" t="s">
        <v>28</v>
      </c>
      <c r="C394" s="11" t="s">
        <v>140</v>
      </c>
      <c r="D394" s="11">
        <v>1</v>
      </c>
      <c r="E394" s="11" t="s">
        <v>4</v>
      </c>
      <c r="F394" s="12">
        <v>38300</v>
      </c>
      <c r="G394" s="12">
        <v>38300</v>
      </c>
      <c r="H394" s="11" t="str">
        <f t="shared" si="16"/>
        <v>平成4年12月5日</v>
      </c>
      <c r="I394" s="22">
        <f t="shared" si="15"/>
        <v>33943</v>
      </c>
      <c r="J394" s="1" t="str">
        <f>"00737261"</f>
        <v>00737261</v>
      </c>
      <c r="K394" s="1" t="str">
        <f>"４６６　　　　　　　　　　　　　　　　　"</f>
        <v>４６６　　　　　　　　　　　　　　　　　</v>
      </c>
      <c r="L394" s="1"/>
    </row>
    <row r="395" spans="1:12" ht="18" customHeight="1" x14ac:dyDescent="0.15">
      <c r="A395" s="11">
        <v>464</v>
      </c>
      <c r="B395" s="11" t="s">
        <v>28</v>
      </c>
      <c r="C395" s="11" t="s">
        <v>140</v>
      </c>
      <c r="D395" s="11">
        <v>1</v>
      </c>
      <c r="E395" s="11" t="s">
        <v>4</v>
      </c>
      <c r="F395" s="12">
        <v>38300</v>
      </c>
      <c r="G395" s="12">
        <v>38300</v>
      </c>
      <c r="H395" s="11" t="str">
        <f t="shared" si="16"/>
        <v>平成4年12月5日</v>
      </c>
      <c r="I395" s="22">
        <f t="shared" si="15"/>
        <v>33943</v>
      </c>
      <c r="J395" s="1" t="str">
        <f>"00737263"</f>
        <v>00737263</v>
      </c>
      <c r="K395" s="1" t="str">
        <f>"４６７　　　　　　　　　　　　　　　　　"</f>
        <v>４６７　　　　　　　　　　　　　　　　　</v>
      </c>
      <c r="L395" s="1"/>
    </row>
    <row r="396" spans="1:12" ht="18" customHeight="1" x14ac:dyDescent="0.15">
      <c r="A396" s="11">
        <v>465</v>
      </c>
      <c r="B396" s="11" t="s">
        <v>28</v>
      </c>
      <c r="C396" s="11" t="s">
        <v>140</v>
      </c>
      <c r="D396" s="11">
        <v>1</v>
      </c>
      <c r="E396" s="11" t="s">
        <v>4</v>
      </c>
      <c r="F396" s="12">
        <v>38300</v>
      </c>
      <c r="G396" s="12">
        <v>38300</v>
      </c>
      <c r="H396" s="11" t="str">
        <f t="shared" si="16"/>
        <v>平成4年12月5日</v>
      </c>
      <c r="I396" s="22">
        <f t="shared" si="15"/>
        <v>33943</v>
      </c>
      <c r="J396" s="1" t="str">
        <f>"00737265"</f>
        <v>00737265</v>
      </c>
      <c r="K396" s="1" t="str">
        <f>"４６８　　　　　　　　　　　　　　　　　"</f>
        <v>４６８　　　　　　　　　　　　　　　　　</v>
      </c>
      <c r="L396" s="1"/>
    </row>
    <row r="397" spans="1:12" ht="18" customHeight="1" x14ac:dyDescent="0.15">
      <c r="A397" s="11">
        <v>466</v>
      </c>
      <c r="B397" s="11" t="s">
        <v>28</v>
      </c>
      <c r="C397" s="11" t="s">
        <v>140</v>
      </c>
      <c r="D397" s="11">
        <v>1</v>
      </c>
      <c r="E397" s="11" t="s">
        <v>4</v>
      </c>
      <c r="F397" s="12">
        <v>38300</v>
      </c>
      <c r="G397" s="12">
        <v>38300</v>
      </c>
      <c r="H397" s="11" t="str">
        <f t="shared" si="16"/>
        <v>平成4年12月5日</v>
      </c>
      <c r="I397" s="22">
        <f t="shared" si="15"/>
        <v>33943</v>
      </c>
      <c r="J397" s="1" t="str">
        <f>"00737267"</f>
        <v>00737267</v>
      </c>
      <c r="K397" s="1" t="str">
        <f>"４６９　　　　　　　　　　　　　　　　　"</f>
        <v>４６９　　　　　　　　　　　　　　　　　</v>
      </c>
      <c r="L397" s="1"/>
    </row>
    <row r="398" spans="1:12" ht="18" customHeight="1" x14ac:dyDescent="0.15">
      <c r="A398" s="11">
        <v>467</v>
      </c>
      <c r="B398" s="11" t="s">
        <v>28</v>
      </c>
      <c r="C398" s="11" t="s">
        <v>140</v>
      </c>
      <c r="D398" s="11">
        <v>1</v>
      </c>
      <c r="E398" s="11" t="s">
        <v>4</v>
      </c>
      <c r="F398" s="12">
        <v>38300</v>
      </c>
      <c r="G398" s="12">
        <v>38300</v>
      </c>
      <c r="H398" s="11" t="str">
        <f t="shared" si="16"/>
        <v>平成4年12月5日</v>
      </c>
      <c r="I398" s="22">
        <f t="shared" si="15"/>
        <v>33943</v>
      </c>
      <c r="J398" s="1" t="str">
        <f>"00737269"</f>
        <v>00737269</v>
      </c>
      <c r="K398" s="1" t="str">
        <f>"４７０　　　　　　　　　　　　　　　　　"</f>
        <v>４７０　　　　　　　　　　　　　　　　　</v>
      </c>
      <c r="L398" s="1"/>
    </row>
    <row r="399" spans="1:12" ht="18" customHeight="1" x14ac:dyDescent="0.15">
      <c r="A399" s="11">
        <v>468</v>
      </c>
      <c r="B399" s="11" t="s">
        <v>28</v>
      </c>
      <c r="C399" s="11" t="s">
        <v>140</v>
      </c>
      <c r="D399" s="11">
        <v>1</v>
      </c>
      <c r="E399" s="11" t="s">
        <v>4</v>
      </c>
      <c r="F399" s="12">
        <v>38300</v>
      </c>
      <c r="G399" s="12">
        <v>38300</v>
      </c>
      <c r="H399" s="11" t="str">
        <f t="shared" si="16"/>
        <v>平成4年12月5日</v>
      </c>
      <c r="I399" s="22">
        <f t="shared" si="15"/>
        <v>33943</v>
      </c>
      <c r="J399" s="1" t="str">
        <f>"00737271"</f>
        <v>00737271</v>
      </c>
      <c r="K399" s="1" t="str">
        <f>"４７１　　　　　　　　　　　　　　　　　"</f>
        <v>４７１　　　　　　　　　　　　　　　　　</v>
      </c>
      <c r="L399" s="1"/>
    </row>
    <row r="400" spans="1:12" ht="18" customHeight="1" x14ac:dyDescent="0.15">
      <c r="A400" s="11">
        <v>469</v>
      </c>
      <c r="B400" s="11" t="s">
        <v>28</v>
      </c>
      <c r="C400" s="11" t="s">
        <v>140</v>
      </c>
      <c r="D400" s="11">
        <v>1</v>
      </c>
      <c r="E400" s="11" t="s">
        <v>4</v>
      </c>
      <c r="F400" s="12">
        <v>38300</v>
      </c>
      <c r="G400" s="12">
        <v>38300</v>
      </c>
      <c r="H400" s="11" t="str">
        <f t="shared" si="16"/>
        <v>平成4年12月5日</v>
      </c>
      <c r="I400" s="22">
        <f t="shared" si="15"/>
        <v>33943</v>
      </c>
      <c r="J400" s="1" t="str">
        <f>"00737273"</f>
        <v>00737273</v>
      </c>
      <c r="K400" s="1" t="str">
        <f>"４７２　　　　　　　　　　　　　　　　　"</f>
        <v>４７２　　　　　　　　　　　　　　　　　</v>
      </c>
      <c r="L400" s="1"/>
    </row>
    <row r="401" spans="1:12" ht="18" customHeight="1" x14ac:dyDescent="0.15">
      <c r="A401" s="11">
        <v>470</v>
      </c>
      <c r="B401" s="11" t="s">
        <v>28</v>
      </c>
      <c r="C401" s="11" t="s">
        <v>140</v>
      </c>
      <c r="D401" s="11">
        <v>1</v>
      </c>
      <c r="E401" s="11" t="s">
        <v>4</v>
      </c>
      <c r="F401" s="12">
        <v>38300</v>
      </c>
      <c r="G401" s="12">
        <v>38300</v>
      </c>
      <c r="H401" s="11" t="str">
        <f t="shared" si="16"/>
        <v>平成4年12月5日</v>
      </c>
      <c r="I401" s="22">
        <f t="shared" si="15"/>
        <v>33943</v>
      </c>
      <c r="J401" s="1" t="str">
        <f>"00737275"</f>
        <v>00737275</v>
      </c>
      <c r="K401" s="1" t="str">
        <f>"４７３　　　　　　　　　　　　　　　　　"</f>
        <v>４７３　　　　　　　　　　　　　　　　　</v>
      </c>
      <c r="L401" s="1"/>
    </row>
    <row r="402" spans="1:12" ht="18" customHeight="1" x14ac:dyDescent="0.15">
      <c r="A402" s="11">
        <v>471</v>
      </c>
      <c r="B402" s="11" t="s">
        <v>28</v>
      </c>
      <c r="C402" s="11" t="s">
        <v>140</v>
      </c>
      <c r="D402" s="11">
        <v>1</v>
      </c>
      <c r="E402" s="11" t="s">
        <v>4</v>
      </c>
      <c r="F402" s="12">
        <v>38300</v>
      </c>
      <c r="G402" s="12">
        <v>38300</v>
      </c>
      <c r="H402" s="11" t="str">
        <f t="shared" si="16"/>
        <v>平成4年12月5日</v>
      </c>
      <c r="I402" s="22">
        <f t="shared" ref="I402:I465" si="17">DATEVALUE(H402)</f>
        <v>33943</v>
      </c>
      <c r="J402" s="1" t="str">
        <f>"00737277"</f>
        <v>00737277</v>
      </c>
      <c r="K402" s="1" t="str">
        <f>"４７４　　　　　　　　　　　　　　　　　"</f>
        <v>４７４　　　　　　　　　　　　　　　　　</v>
      </c>
      <c r="L402" s="1"/>
    </row>
    <row r="403" spans="1:12" ht="18" customHeight="1" x14ac:dyDescent="0.15">
      <c r="A403" s="11">
        <v>472</v>
      </c>
      <c r="B403" s="11" t="s">
        <v>28</v>
      </c>
      <c r="C403" s="11" t="s">
        <v>140</v>
      </c>
      <c r="D403" s="11">
        <v>1</v>
      </c>
      <c r="E403" s="11" t="s">
        <v>4</v>
      </c>
      <c r="F403" s="12">
        <v>38300</v>
      </c>
      <c r="G403" s="12">
        <v>38300</v>
      </c>
      <c r="H403" s="11" t="str">
        <f t="shared" si="16"/>
        <v>平成4年12月5日</v>
      </c>
      <c r="I403" s="22">
        <f t="shared" si="17"/>
        <v>33943</v>
      </c>
      <c r="J403" s="1" t="str">
        <f>"00737279"</f>
        <v>00737279</v>
      </c>
      <c r="K403" s="1" t="str">
        <f>"４７５　　　　　　　　　　　　　　　　　"</f>
        <v>４７５　　　　　　　　　　　　　　　　　</v>
      </c>
      <c r="L403" s="1"/>
    </row>
    <row r="404" spans="1:12" ht="18" customHeight="1" x14ac:dyDescent="0.15">
      <c r="A404" s="11">
        <v>473</v>
      </c>
      <c r="B404" s="11" t="s">
        <v>28</v>
      </c>
      <c r="C404" s="11" t="s">
        <v>140</v>
      </c>
      <c r="D404" s="11">
        <v>1</v>
      </c>
      <c r="E404" s="11" t="s">
        <v>4</v>
      </c>
      <c r="F404" s="12">
        <v>38300</v>
      </c>
      <c r="G404" s="12">
        <v>38300</v>
      </c>
      <c r="H404" s="11" t="str">
        <f t="shared" si="16"/>
        <v>平成4年12月5日</v>
      </c>
      <c r="I404" s="22">
        <f t="shared" si="17"/>
        <v>33943</v>
      </c>
      <c r="J404" s="1" t="str">
        <f>"00737281"</f>
        <v>00737281</v>
      </c>
      <c r="K404" s="1" t="str">
        <f>"４７６　　　　　　　　　　　　　　　　　"</f>
        <v>４７６　　　　　　　　　　　　　　　　　</v>
      </c>
      <c r="L404" s="1"/>
    </row>
    <row r="405" spans="1:12" ht="18" customHeight="1" x14ac:dyDescent="0.15">
      <c r="A405" s="11">
        <v>474</v>
      </c>
      <c r="B405" s="11" t="s">
        <v>28</v>
      </c>
      <c r="C405" s="11" t="s">
        <v>140</v>
      </c>
      <c r="D405" s="11">
        <v>1</v>
      </c>
      <c r="E405" s="11" t="s">
        <v>4</v>
      </c>
      <c r="F405" s="12">
        <v>38300</v>
      </c>
      <c r="G405" s="12">
        <v>38300</v>
      </c>
      <c r="H405" s="11" t="str">
        <f t="shared" si="16"/>
        <v>平成4年12月5日</v>
      </c>
      <c r="I405" s="22">
        <f t="shared" si="17"/>
        <v>33943</v>
      </c>
      <c r="J405" s="1" t="str">
        <f>"00737283"</f>
        <v>00737283</v>
      </c>
      <c r="K405" s="1" t="str">
        <f>"４７７　　　　　　　　　　　　　　　　　"</f>
        <v>４７７　　　　　　　　　　　　　　　　　</v>
      </c>
      <c r="L405" s="1"/>
    </row>
    <row r="406" spans="1:12" ht="18" customHeight="1" x14ac:dyDescent="0.15">
      <c r="A406" s="11">
        <v>475</v>
      </c>
      <c r="B406" s="11" t="s">
        <v>28</v>
      </c>
      <c r="C406" s="11" t="s">
        <v>140</v>
      </c>
      <c r="D406" s="11">
        <v>1</v>
      </c>
      <c r="E406" s="11" t="s">
        <v>4</v>
      </c>
      <c r="F406" s="12">
        <v>38300</v>
      </c>
      <c r="G406" s="12">
        <v>38300</v>
      </c>
      <c r="H406" s="11" t="str">
        <f t="shared" si="16"/>
        <v>平成4年12月5日</v>
      </c>
      <c r="I406" s="22">
        <f t="shared" si="17"/>
        <v>33943</v>
      </c>
      <c r="J406" s="1" t="str">
        <f>"00737285"</f>
        <v>00737285</v>
      </c>
      <c r="K406" s="1" t="str">
        <f>"４７８　　　　　　　　　　　　　　　　　"</f>
        <v>４７８　　　　　　　　　　　　　　　　　</v>
      </c>
      <c r="L406" s="1"/>
    </row>
    <row r="407" spans="1:12" ht="18" customHeight="1" x14ac:dyDescent="0.15">
      <c r="A407" s="11">
        <v>476</v>
      </c>
      <c r="B407" s="11" t="s">
        <v>28</v>
      </c>
      <c r="C407" s="11" t="s">
        <v>140</v>
      </c>
      <c r="D407" s="11">
        <v>1</v>
      </c>
      <c r="E407" s="11" t="s">
        <v>4</v>
      </c>
      <c r="F407" s="12">
        <v>38300</v>
      </c>
      <c r="G407" s="12">
        <v>38300</v>
      </c>
      <c r="H407" s="11" t="str">
        <f t="shared" si="16"/>
        <v>平成4年12月5日</v>
      </c>
      <c r="I407" s="22">
        <f t="shared" si="17"/>
        <v>33943</v>
      </c>
      <c r="J407" s="1" t="str">
        <f>"00737287"</f>
        <v>00737287</v>
      </c>
      <c r="K407" s="1" t="str">
        <f>"４７９　　　　　　　　　　　　　　　　　"</f>
        <v>４７９　　　　　　　　　　　　　　　　　</v>
      </c>
      <c r="L407" s="1"/>
    </row>
    <row r="408" spans="1:12" ht="18" customHeight="1" x14ac:dyDescent="0.15">
      <c r="A408" s="11">
        <v>477</v>
      </c>
      <c r="B408" s="11" t="s">
        <v>28</v>
      </c>
      <c r="C408" s="11" t="s">
        <v>140</v>
      </c>
      <c r="D408" s="11">
        <v>1</v>
      </c>
      <c r="E408" s="11" t="s">
        <v>4</v>
      </c>
      <c r="F408" s="12">
        <v>38300</v>
      </c>
      <c r="G408" s="12">
        <v>38300</v>
      </c>
      <c r="H408" s="11" t="str">
        <f t="shared" si="16"/>
        <v>平成4年12月5日</v>
      </c>
      <c r="I408" s="22">
        <f t="shared" si="17"/>
        <v>33943</v>
      </c>
      <c r="J408" s="1" t="str">
        <f>"00737289"</f>
        <v>00737289</v>
      </c>
      <c r="K408" s="1" t="str">
        <f>"４８０　　　　　　　　　　　　　　　　　"</f>
        <v>４８０　　　　　　　　　　　　　　　　　</v>
      </c>
      <c r="L408" s="1"/>
    </row>
    <row r="409" spans="1:12" ht="18" customHeight="1" x14ac:dyDescent="0.15">
      <c r="A409" s="11">
        <v>478</v>
      </c>
      <c r="B409" s="11" t="s">
        <v>28</v>
      </c>
      <c r="C409" s="11" t="s">
        <v>140</v>
      </c>
      <c r="D409" s="11">
        <v>1</v>
      </c>
      <c r="E409" s="11" t="s">
        <v>4</v>
      </c>
      <c r="F409" s="12">
        <v>38300</v>
      </c>
      <c r="G409" s="12">
        <v>38300</v>
      </c>
      <c r="H409" s="11" t="str">
        <f t="shared" si="16"/>
        <v>平成4年12月5日</v>
      </c>
      <c r="I409" s="22">
        <f t="shared" si="17"/>
        <v>33943</v>
      </c>
      <c r="J409" s="1" t="str">
        <f>"00737291"</f>
        <v>00737291</v>
      </c>
      <c r="K409" s="1" t="str">
        <f>"４８１　　　　　　　　　　　　　　　　　"</f>
        <v>４８１　　　　　　　　　　　　　　　　　</v>
      </c>
      <c r="L409" s="1"/>
    </row>
    <row r="410" spans="1:12" ht="18" customHeight="1" x14ac:dyDescent="0.15">
      <c r="A410" s="11">
        <v>479</v>
      </c>
      <c r="B410" s="11" t="s">
        <v>28</v>
      </c>
      <c r="C410" s="11" t="s">
        <v>140</v>
      </c>
      <c r="D410" s="11">
        <v>1</v>
      </c>
      <c r="E410" s="11" t="s">
        <v>4</v>
      </c>
      <c r="F410" s="12">
        <v>38300</v>
      </c>
      <c r="G410" s="12">
        <v>38300</v>
      </c>
      <c r="H410" s="11" t="str">
        <f t="shared" si="16"/>
        <v>平成4年12月5日</v>
      </c>
      <c r="I410" s="22">
        <f t="shared" si="17"/>
        <v>33943</v>
      </c>
      <c r="J410" s="1" t="str">
        <f>"00737293"</f>
        <v>00737293</v>
      </c>
      <c r="K410" s="1" t="str">
        <f>"４８２　　　　　　　　　　　　　　　　　"</f>
        <v>４８２　　　　　　　　　　　　　　　　　</v>
      </c>
      <c r="L410" s="1"/>
    </row>
    <row r="411" spans="1:12" ht="18" customHeight="1" x14ac:dyDescent="0.15">
      <c r="A411" s="11">
        <v>480</v>
      </c>
      <c r="B411" s="11" t="s">
        <v>28</v>
      </c>
      <c r="C411" s="11" t="s">
        <v>140</v>
      </c>
      <c r="D411" s="11">
        <v>1</v>
      </c>
      <c r="E411" s="11" t="s">
        <v>4</v>
      </c>
      <c r="F411" s="12">
        <v>38300</v>
      </c>
      <c r="G411" s="12">
        <v>38300</v>
      </c>
      <c r="H411" s="11" t="str">
        <f t="shared" si="16"/>
        <v>平成4年12月5日</v>
      </c>
      <c r="I411" s="22">
        <f t="shared" si="17"/>
        <v>33943</v>
      </c>
      <c r="J411" s="1" t="str">
        <f>"00737295"</f>
        <v>00737295</v>
      </c>
      <c r="K411" s="1" t="str">
        <f>"４８３　　　　　　　　　　　　　　　　　"</f>
        <v>４８３　　　　　　　　　　　　　　　　　</v>
      </c>
      <c r="L411" s="1"/>
    </row>
    <row r="412" spans="1:12" ht="18" customHeight="1" x14ac:dyDescent="0.15">
      <c r="A412" s="11">
        <v>481</v>
      </c>
      <c r="B412" s="11" t="s">
        <v>28</v>
      </c>
      <c r="C412" s="11" t="s">
        <v>140</v>
      </c>
      <c r="D412" s="11">
        <v>1</v>
      </c>
      <c r="E412" s="11" t="s">
        <v>4</v>
      </c>
      <c r="F412" s="12">
        <v>38300</v>
      </c>
      <c r="G412" s="12">
        <v>38300</v>
      </c>
      <c r="H412" s="11" t="str">
        <f t="shared" si="16"/>
        <v>平成4年12月5日</v>
      </c>
      <c r="I412" s="22">
        <f t="shared" si="17"/>
        <v>33943</v>
      </c>
      <c r="J412" s="1" t="str">
        <f>"00737297"</f>
        <v>00737297</v>
      </c>
      <c r="K412" s="1" t="str">
        <f>"４８４　　　　　　　　　　　　　　　　　"</f>
        <v>４８４　　　　　　　　　　　　　　　　　</v>
      </c>
      <c r="L412" s="1"/>
    </row>
    <row r="413" spans="1:12" ht="18" customHeight="1" x14ac:dyDescent="0.15">
      <c r="A413" s="11">
        <v>482</v>
      </c>
      <c r="B413" s="11" t="s">
        <v>28</v>
      </c>
      <c r="C413" s="11" t="s">
        <v>140</v>
      </c>
      <c r="D413" s="11">
        <v>1</v>
      </c>
      <c r="E413" s="11" t="s">
        <v>4</v>
      </c>
      <c r="F413" s="12">
        <v>38300</v>
      </c>
      <c r="G413" s="12">
        <v>38300</v>
      </c>
      <c r="H413" s="11" t="str">
        <f t="shared" si="16"/>
        <v>平成4年12月5日</v>
      </c>
      <c r="I413" s="22">
        <f t="shared" si="17"/>
        <v>33943</v>
      </c>
      <c r="J413" s="1" t="str">
        <f>"00737299"</f>
        <v>00737299</v>
      </c>
      <c r="K413" s="1" t="str">
        <f>"４８５　　　　　　　　　　　　　　　　　"</f>
        <v>４８５　　　　　　　　　　　　　　　　　</v>
      </c>
      <c r="L413" s="1"/>
    </row>
    <row r="414" spans="1:12" ht="18" customHeight="1" x14ac:dyDescent="0.15">
      <c r="A414" s="11">
        <v>483</v>
      </c>
      <c r="B414" s="11" t="s">
        <v>28</v>
      </c>
      <c r="C414" s="11" t="s">
        <v>140</v>
      </c>
      <c r="D414" s="11">
        <v>1</v>
      </c>
      <c r="E414" s="11" t="s">
        <v>4</v>
      </c>
      <c r="F414" s="12">
        <v>38300</v>
      </c>
      <c r="G414" s="12">
        <v>38300</v>
      </c>
      <c r="H414" s="11" t="str">
        <f t="shared" si="16"/>
        <v>平成4年12月5日</v>
      </c>
      <c r="I414" s="22">
        <f t="shared" si="17"/>
        <v>33943</v>
      </c>
      <c r="J414" s="1" t="str">
        <f>"00737301"</f>
        <v>00737301</v>
      </c>
      <c r="K414" s="1" t="str">
        <f>"４８６　　　　　　　　　　　　　　　　　"</f>
        <v>４８６　　　　　　　　　　　　　　　　　</v>
      </c>
      <c r="L414" s="1"/>
    </row>
    <row r="415" spans="1:12" ht="18" customHeight="1" x14ac:dyDescent="0.15">
      <c r="A415" s="11">
        <v>484</v>
      </c>
      <c r="B415" s="11" t="s">
        <v>28</v>
      </c>
      <c r="C415" s="11" t="s">
        <v>140</v>
      </c>
      <c r="D415" s="11">
        <v>1</v>
      </c>
      <c r="E415" s="11" t="s">
        <v>4</v>
      </c>
      <c r="F415" s="12">
        <v>38300</v>
      </c>
      <c r="G415" s="12">
        <v>38300</v>
      </c>
      <c r="H415" s="11" t="str">
        <f t="shared" si="16"/>
        <v>平成4年12月5日</v>
      </c>
      <c r="I415" s="22">
        <f t="shared" si="17"/>
        <v>33943</v>
      </c>
      <c r="J415" s="1" t="str">
        <f>"00737303"</f>
        <v>00737303</v>
      </c>
      <c r="K415" s="1" t="str">
        <f>"４８７　　　　　　　　　　　　　　　　　"</f>
        <v>４８７　　　　　　　　　　　　　　　　　</v>
      </c>
      <c r="L415" s="1"/>
    </row>
    <row r="416" spans="1:12" ht="18" customHeight="1" x14ac:dyDescent="0.15">
      <c r="A416" s="11">
        <v>485</v>
      </c>
      <c r="B416" s="11" t="s">
        <v>28</v>
      </c>
      <c r="C416" s="11" t="s">
        <v>140</v>
      </c>
      <c r="D416" s="11">
        <v>1</v>
      </c>
      <c r="E416" s="11" t="s">
        <v>4</v>
      </c>
      <c r="F416" s="12">
        <v>38300</v>
      </c>
      <c r="G416" s="12">
        <v>38300</v>
      </c>
      <c r="H416" s="11" t="str">
        <f t="shared" si="16"/>
        <v>平成4年12月5日</v>
      </c>
      <c r="I416" s="22">
        <f t="shared" si="17"/>
        <v>33943</v>
      </c>
      <c r="J416" s="1" t="str">
        <f>"00737305"</f>
        <v>00737305</v>
      </c>
      <c r="K416" s="1" t="str">
        <f>"４８８　　　　　　　　　　　　　　　　　"</f>
        <v>４８８　　　　　　　　　　　　　　　　　</v>
      </c>
      <c r="L416" s="1"/>
    </row>
    <row r="417" spans="1:12" ht="18" customHeight="1" x14ac:dyDescent="0.15">
      <c r="A417" s="11">
        <v>486</v>
      </c>
      <c r="B417" s="11" t="s">
        <v>28</v>
      </c>
      <c r="C417" s="11" t="s">
        <v>140</v>
      </c>
      <c r="D417" s="11">
        <v>1</v>
      </c>
      <c r="E417" s="11" t="s">
        <v>4</v>
      </c>
      <c r="F417" s="12">
        <v>38300</v>
      </c>
      <c r="G417" s="12">
        <v>38300</v>
      </c>
      <c r="H417" s="11" t="str">
        <f t="shared" si="16"/>
        <v>平成4年12月5日</v>
      </c>
      <c r="I417" s="22">
        <f t="shared" si="17"/>
        <v>33943</v>
      </c>
      <c r="J417" s="1" t="str">
        <f>"00737307"</f>
        <v>00737307</v>
      </c>
      <c r="K417" s="1" t="str">
        <f>"４８９　　　　　　　　　　　　　　　　　"</f>
        <v>４８９　　　　　　　　　　　　　　　　　</v>
      </c>
      <c r="L417" s="1"/>
    </row>
    <row r="418" spans="1:12" ht="18" customHeight="1" x14ac:dyDescent="0.15">
      <c r="A418" s="11">
        <v>487</v>
      </c>
      <c r="B418" s="11" t="s">
        <v>28</v>
      </c>
      <c r="C418" s="11" t="s">
        <v>140</v>
      </c>
      <c r="D418" s="11">
        <v>1</v>
      </c>
      <c r="E418" s="11" t="s">
        <v>4</v>
      </c>
      <c r="F418" s="12">
        <v>38300</v>
      </c>
      <c r="G418" s="12">
        <v>38300</v>
      </c>
      <c r="H418" s="11" t="str">
        <f t="shared" si="16"/>
        <v>平成4年12月5日</v>
      </c>
      <c r="I418" s="22">
        <f t="shared" si="17"/>
        <v>33943</v>
      </c>
      <c r="J418" s="1" t="str">
        <f>"00737309"</f>
        <v>00737309</v>
      </c>
      <c r="K418" s="1" t="str">
        <f>"４９０　　　　　　　　　　　　　　　　　"</f>
        <v>４９０　　　　　　　　　　　　　　　　　</v>
      </c>
      <c r="L418" s="1"/>
    </row>
    <row r="419" spans="1:12" ht="18" customHeight="1" x14ac:dyDescent="0.15">
      <c r="A419" s="11">
        <v>488</v>
      </c>
      <c r="B419" s="11" t="s">
        <v>28</v>
      </c>
      <c r="C419" s="11" t="s">
        <v>140</v>
      </c>
      <c r="D419" s="11">
        <v>1</v>
      </c>
      <c r="E419" s="11" t="s">
        <v>4</v>
      </c>
      <c r="F419" s="12">
        <v>38300</v>
      </c>
      <c r="G419" s="12">
        <v>38300</v>
      </c>
      <c r="H419" s="11" t="str">
        <f t="shared" si="16"/>
        <v>平成4年12月5日</v>
      </c>
      <c r="I419" s="22">
        <f t="shared" si="17"/>
        <v>33943</v>
      </c>
      <c r="J419" s="1" t="str">
        <f>"00737311"</f>
        <v>00737311</v>
      </c>
      <c r="K419" s="1" t="str">
        <f>"４９１　　　　　　　　　　　　　　　　　"</f>
        <v>４９１　　　　　　　　　　　　　　　　　</v>
      </c>
      <c r="L419" s="1"/>
    </row>
    <row r="420" spans="1:12" ht="18" customHeight="1" x14ac:dyDescent="0.15">
      <c r="A420" s="11">
        <v>489</v>
      </c>
      <c r="B420" s="11" t="s">
        <v>28</v>
      </c>
      <c r="C420" s="11" t="s">
        <v>140</v>
      </c>
      <c r="D420" s="11">
        <v>1</v>
      </c>
      <c r="E420" s="11" t="s">
        <v>4</v>
      </c>
      <c r="F420" s="12">
        <v>38300</v>
      </c>
      <c r="G420" s="12">
        <v>38300</v>
      </c>
      <c r="H420" s="11" t="str">
        <f t="shared" si="16"/>
        <v>平成4年12月5日</v>
      </c>
      <c r="I420" s="22">
        <f t="shared" si="17"/>
        <v>33943</v>
      </c>
      <c r="J420" s="1" t="str">
        <f>"00737313"</f>
        <v>00737313</v>
      </c>
      <c r="K420" s="1" t="str">
        <f>"４９２　　　　　　　　　　　　　　　　　"</f>
        <v>４９２　　　　　　　　　　　　　　　　　</v>
      </c>
      <c r="L420" s="1"/>
    </row>
    <row r="421" spans="1:12" ht="18" customHeight="1" x14ac:dyDescent="0.15">
      <c r="A421" s="11">
        <v>490</v>
      </c>
      <c r="B421" s="11" t="s">
        <v>28</v>
      </c>
      <c r="C421" s="11" t="s">
        <v>140</v>
      </c>
      <c r="D421" s="11">
        <v>1</v>
      </c>
      <c r="E421" s="11" t="s">
        <v>4</v>
      </c>
      <c r="F421" s="12">
        <v>38300</v>
      </c>
      <c r="G421" s="12">
        <v>38300</v>
      </c>
      <c r="H421" s="11" t="str">
        <f t="shared" si="16"/>
        <v>平成4年12月5日</v>
      </c>
      <c r="I421" s="22">
        <f t="shared" si="17"/>
        <v>33943</v>
      </c>
      <c r="J421" s="1" t="str">
        <f>"00737315"</f>
        <v>00737315</v>
      </c>
      <c r="K421" s="1" t="str">
        <f>"４９３　　　　　　　　　　　　　　　　　"</f>
        <v>４９３　　　　　　　　　　　　　　　　　</v>
      </c>
      <c r="L421" s="1"/>
    </row>
    <row r="422" spans="1:12" ht="18" customHeight="1" x14ac:dyDescent="0.15">
      <c r="A422" s="11">
        <v>491</v>
      </c>
      <c r="B422" s="11" t="s">
        <v>28</v>
      </c>
      <c r="C422" s="11" t="s">
        <v>140</v>
      </c>
      <c r="D422" s="11">
        <v>1</v>
      </c>
      <c r="E422" s="11" t="s">
        <v>4</v>
      </c>
      <c r="F422" s="12">
        <v>38300</v>
      </c>
      <c r="G422" s="12">
        <v>38300</v>
      </c>
      <c r="H422" s="11" t="str">
        <f t="shared" si="16"/>
        <v>平成4年12月5日</v>
      </c>
      <c r="I422" s="22">
        <f t="shared" si="17"/>
        <v>33943</v>
      </c>
      <c r="J422" s="1" t="str">
        <f>"00737317"</f>
        <v>00737317</v>
      </c>
      <c r="K422" s="1" t="str">
        <f>"４９４　　　　　　　　　　　　　　　　　"</f>
        <v>４９４　　　　　　　　　　　　　　　　　</v>
      </c>
      <c r="L422" s="1"/>
    </row>
    <row r="423" spans="1:12" ht="18" customHeight="1" x14ac:dyDescent="0.15">
      <c r="A423" s="11">
        <v>492</v>
      </c>
      <c r="B423" s="11" t="s">
        <v>28</v>
      </c>
      <c r="C423" s="11" t="s">
        <v>140</v>
      </c>
      <c r="D423" s="11">
        <v>1</v>
      </c>
      <c r="E423" s="11" t="s">
        <v>4</v>
      </c>
      <c r="F423" s="12">
        <v>38300</v>
      </c>
      <c r="G423" s="12">
        <v>38300</v>
      </c>
      <c r="H423" s="11" t="str">
        <f t="shared" si="16"/>
        <v>平成4年12月5日</v>
      </c>
      <c r="I423" s="22">
        <f t="shared" si="17"/>
        <v>33943</v>
      </c>
      <c r="J423" s="1" t="str">
        <f>"00737319"</f>
        <v>00737319</v>
      </c>
      <c r="K423" s="1" t="str">
        <f>"４９５　　　　　　　　　　　　　　　　　"</f>
        <v>４９５　　　　　　　　　　　　　　　　　</v>
      </c>
      <c r="L423" s="1"/>
    </row>
    <row r="424" spans="1:12" ht="18" customHeight="1" x14ac:dyDescent="0.15">
      <c r="A424" s="11">
        <v>493</v>
      </c>
      <c r="B424" s="11" t="s">
        <v>28</v>
      </c>
      <c r="C424" s="11" t="s">
        <v>140</v>
      </c>
      <c r="D424" s="11">
        <v>1</v>
      </c>
      <c r="E424" s="11" t="s">
        <v>4</v>
      </c>
      <c r="F424" s="12">
        <v>38300</v>
      </c>
      <c r="G424" s="12">
        <v>38300</v>
      </c>
      <c r="H424" s="11" t="str">
        <f t="shared" si="16"/>
        <v>平成4年12月5日</v>
      </c>
      <c r="I424" s="22">
        <f t="shared" si="17"/>
        <v>33943</v>
      </c>
      <c r="J424" s="1" t="str">
        <f>"00737321"</f>
        <v>00737321</v>
      </c>
      <c r="K424" s="1" t="str">
        <f>"４９６　　　　　　　　　　　　　　　　　"</f>
        <v>４９６　　　　　　　　　　　　　　　　　</v>
      </c>
      <c r="L424" s="1"/>
    </row>
    <row r="425" spans="1:12" ht="18" customHeight="1" x14ac:dyDescent="0.15">
      <c r="A425" s="11">
        <v>494</v>
      </c>
      <c r="B425" s="11" t="s">
        <v>28</v>
      </c>
      <c r="C425" s="11" t="s">
        <v>140</v>
      </c>
      <c r="D425" s="11">
        <v>1</v>
      </c>
      <c r="E425" s="11" t="s">
        <v>4</v>
      </c>
      <c r="F425" s="12">
        <v>38300</v>
      </c>
      <c r="G425" s="12">
        <v>38300</v>
      </c>
      <c r="H425" s="11" t="str">
        <f t="shared" si="16"/>
        <v>平成4年12月5日</v>
      </c>
      <c r="I425" s="22">
        <f t="shared" si="17"/>
        <v>33943</v>
      </c>
      <c r="J425" s="1" t="str">
        <f>"00737323"</f>
        <v>00737323</v>
      </c>
      <c r="K425" s="1" t="str">
        <f>"４９７　　　　　　　　　　　　　　　　　"</f>
        <v>４９７　　　　　　　　　　　　　　　　　</v>
      </c>
      <c r="L425" s="1"/>
    </row>
    <row r="426" spans="1:12" ht="18" customHeight="1" x14ac:dyDescent="0.15">
      <c r="A426" s="11">
        <v>495</v>
      </c>
      <c r="B426" s="11" t="s">
        <v>28</v>
      </c>
      <c r="C426" s="11" t="s">
        <v>140</v>
      </c>
      <c r="D426" s="11">
        <v>1</v>
      </c>
      <c r="E426" s="11" t="s">
        <v>4</v>
      </c>
      <c r="F426" s="12">
        <v>38300</v>
      </c>
      <c r="G426" s="12">
        <v>38300</v>
      </c>
      <c r="H426" s="11" t="str">
        <f t="shared" si="16"/>
        <v>平成4年12月5日</v>
      </c>
      <c r="I426" s="22">
        <f t="shared" si="17"/>
        <v>33943</v>
      </c>
      <c r="J426" s="1" t="str">
        <f>"00737325"</f>
        <v>00737325</v>
      </c>
      <c r="K426" s="1" t="str">
        <f>"４９８　　　　　　　　　　　　　　　　　"</f>
        <v>４９８　　　　　　　　　　　　　　　　　</v>
      </c>
      <c r="L426" s="1"/>
    </row>
    <row r="427" spans="1:12" ht="18" customHeight="1" x14ac:dyDescent="0.15">
      <c r="A427" s="11">
        <v>496</v>
      </c>
      <c r="B427" s="11" t="s">
        <v>28</v>
      </c>
      <c r="C427" s="11" t="s">
        <v>140</v>
      </c>
      <c r="D427" s="11">
        <v>1</v>
      </c>
      <c r="E427" s="11" t="s">
        <v>4</v>
      </c>
      <c r="F427" s="12">
        <v>38300</v>
      </c>
      <c r="G427" s="12">
        <v>38300</v>
      </c>
      <c r="H427" s="11" t="str">
        <f t="shared" si="16"/>
        <v>平成4年12月5日</v>
      </c>
      <c r="I427" s="22">
        <f t="shared" si="17"/>
        <v>33943</v>
      </c>
      <c r="J427" s="1" t="str">
        <f>"00737327"</f>
        <v>00737327</v>
      </c>
      <c r="K427" s="1" t="str">
        <f>"４９９　　　　　　　　　　　　　　　　　"</f>
        <v>４９９　　　　　　　　　　　　　　　　　</v>
      </c>
      <c r="L427" s="1"/>
    </row>
    <row r="428" spans="1:12" ht="18" customHeight="1" x14ac:dyDescent="0.15">
      <c r="A428" s="11">
        <v>497</v>
      </c>
      <c r="B428" s="11" t="s">
        <v>28</v>
      </c>
      <c r="C428" s="11" t="s">
        <v>140</v>
      </c>
      <c r="D428" s="11">
        <v>1</v>
      </c>
      <c r="E428" s="11" t="s">
        <v>4</v>
      </c>
      <c r="F428" s="12">
        <v>38300</v>
      </c>
      <c r="G428" s="12">
        <v>38300</v>
      </c>
      <c r="H428" s="11" t="str">
        <f t="shared" si="16"/>
        <v>平成4年12月5日</v>
      </c>
      <c r="I428" s="22">
        <f t="shared" si="17"/>
        <v>33943</v>
      </c>
      <c r="J428" s="1" t="str">
        <f>"00737329"</f>
        <v>00737329</v>
      </c>
      <c r="K428" s="1" t="str">
        <f>"５００　　　　　　　　　　　　　　　　　"</f>
        <v>５００　　　　　　　　　　　　　　　　　</v>
      </c>
      <c r="L428" s="1"/>
    </row>
    <row r="429" spans="1:12" ht="18" customHeight="1" x14ac:dyDescent="0.15">
      <c r="A429" s="11">
        <v>498</v>
      </c>
      <c r="B429" s="11" t="s">
        <v>28</v>
      </c>
      <c r="C429" s="11" t="s">
        <v>140</v>
      </c>
      <c r="D429" s="11">
        <v>1</v>
      </c>
      <c r="E429" s="11" t="s">
        <v>4</v>
      </c>
      <c r="F429" s="12">
        <v>38300</v>
      </c>
      <c r="G429" s="12">
        <v>38300</v>
      </c>
      <c r="H429" s="11" t="str">
        <f t="shared" si="16"/>
        <v>平成4年12月5日</v>
      </c>
      <c r="I429" s="22">
        <f t="shared" si="17"/>
        <v>33943</v>
      </c>
      <c r="J429" s="1" t="str">
        <f>"00737331"</f>
        <v>00737331</v>
      </c>
      <c r="K429" s="1" t="str">
        <f>"５０１　　　　　　　　　　　　　　　　　"</f>
        <v>５０１　　　　　　　　　　　　　　　　　</v>
      </c>
      <c r="L429" s="1"/>
    </row>
    <row r="430" spans="1:12" ht="18" customHeight="1" x14ac:dyDescent="0.15">
      <c r="A430" s="11">
        <v>499</v>
      </c>
      <c r="B430" s="11" t="s">
        <v>28</v>
      </c>
      <c r="C430" s="11" t="s">
        <v>140</v>
      </c>
      <c r="D430" s="11">
        <v>1</v>
      </c>
      <c r="E430" s="11" t="s">
        <v>4</v>
      </c>
      <c r="F430" s="12">
        <v>38300</v>
      </c>
      <c r="G430" s="12">
        <v>38300</v>
      </c>
      <c r="H430" s="11" t="str">
        <f t="shared" ref="H430:H493" si="18">"平成4年12月5日"</f>
        <v>平成4年12月5日</v>
      </c>
      <c r="I430" s="22">
        <f t="shared" si="17"/>
        <v>33943</v>
      </c>
      <c r="J430" s="1" t="str">
        <f>"00737333"</f>
        <v>00737333</v>
      </c>
      <c r="K430" s="1" t="str">
        <f>"５０２　　　　　　　　　　　　　　　　　"</f>
        <v>５０２　　　　　　　　　　　　　　　　　</v>
      </c>
      <c r="L430" s="1"/>
    </row>
    <row r="431" spans="1:12" ht="18" customHeight="1" x14ac:dyDescent="0.15">
      <c r="A431" s="11">
        <v>500</v>
      </c>
      <c r="B431" s="11" t="s">
        <v>28</v>
      </c>
      <c r="C431" s="11" t="s">
        <v>140</v>
      </c>
      <c r="D431" s="11">
        <v>1</v>
      </c>
      <c r="E431" s="11" t="s">
        <v>4</v>
      </c>
      <c r="F431" s="12">
        <v>38300</v>
      </c>
      <c r="G431" s="12">
        <v>38300</v>
      </c>
      <c r="H431" s="11" t="str">
        <f t="shared" si="18"/>
        <v>平成4年12月5日</v>
      </c>
      <c r="I431" s="22">
        <f t="shared" si="17"/>
        <v>33943</v>
      </c>
      <c r="J431" s="1" t="str">
        <f>"00737335"</f>
        <v>00737335</v>
      </c>
      <c r="K431" s="1" t="str">
        <f>"５０３　　　　　　　　　　　　　　　　　"</f>
        <v>５０３　　　　　　　　　　　　　　　　　</v>
      </c>
      <c r="L431" s="1"/>
    </row>
    <row r="432" spans="1:12" ht="18" customHeight="1" x14ac:dyDescent="0.15">
      <c r="A432" s="11">
        <v>501</v>
      </c>
      <c r="B432" s="11" t="s">
        <v>28</v>
      </c>
      <c r="C432" s="11" t="s">
        <v>140</v>
      </c>
      <c r="D432" s="11">
        <v>1</v>
      </c>
      <c r="E432" s="11" t="s">
        <v>4</v>
      </c>
      <c r="F432" s="12">
        <v>38300</v>
      </c>
      <c r="G432" s="12">
        <v>38300</v>
      </c>
      <c r="H432" s="11" t="str">
        <f t="shared" si="18"/>
        <v>平成4年12月5日</v>
      </c>
      <c r="I432" s="22">
        <f t="shared" si="17"/>
        <v>33943</v>
      </c>
      <c r="J432" s="1" t="str">
        <f>"00737337"</f>
        <v>00737337</v>
      </c>
      <c r="K432" s="1" t="str">
        <f>"５０４　　　　　　　　　　　　　　　　　"</f>
        <v>５０４　　　　　　　　　　　　　　　　　</v>
      </c>
      <c r="L432" s="1"/>
    </row>
    <row r="433" spans="1:12" ht="18" customHeight="1" x14ac:dyDescent="0.15">
      <c r="A433" s="11">
        <v>502</v>
      </c>
      <c r="B433" s="11" t="s">
        <v>28</v>
      </c>
      <c r="C433" s="11" t="s">
        <v>140</v>
      </c>
      <c r="D433" s="11">
        <v>1</v>
      </c>
      <c r="E433" s="11" t="s">
        <v>4</v>
      </c>
      <c r="F433" s="12">
        <v>38300</v>
      </c>
      <c r="G433" s="12">
        <v>38300</v>
      </c>
      <c r="H433" s="11" t="str">
        <f t="shared" si="18"/>
        <v>平成4年12月5日</v>
      </c>
      <c r="I433" s="22">
        <f t="shared" si="17"/>
        <v>33943</v>
      </c>
      <c r="J433" s="1" t="str">
        <f>"00737339"</f>
        <v>00737339</v>
      </c>
      <c r="K433" s="1" t="str">
        <f>"５０５　　　　　　　　　　　　　　　　　"</f>
        <v>５０５　　　　　　　　　　　　　　　　　</v>
      </c>
      <c r="L433" s="1"/>
    </row>
    <row r="434" spans="1:12" ht="18" customHeight="1" x14ac:dyDescent="0.15">
      <c r="A434" s="11">
        <v>503</v>
      </c>
      <c r="B434" s="11" t="s">
        <v>28</v>
      </c>
      <c r="C434" s="11" t="s">
        <v>140</v>
      </c>
      <c r="D434" s="11">
        <v>1</v>
      </c>
      <c r="E434" s="11" t="s">
        <v>4</v>
      </c>
      <c r="F434" s="12">
        <v>38300</v>
      </c>
      <c r="G434" s="12">
        <v>38300</v>
      </c>
      <c r="H434" s="11" t="str">
        <f t="shared" si="18"/>
        <v>平成4年12月5日</v>
      </c>
      <c r="I434" s="22">
        <f t="shared" si="17"/>
        <v>33943</v>
      </c>
      <c r="J434" s="1" t="str">
        <f>"00737341"</f>
        <v>00737341</v>
      </c>
      <c r="K434" s="1" t="str">
        <f>"５０６　　　　　　　　　　　　　　　　　"</f>
        <v>５０６　　　　　　　　　　　　　　　　　</v>
      </c>
      <c r="L434" s="1"/>
    </row>
    <row r="435" spans="1:12" ht="18" customHeight="1" x14ac:dyDescent="0.15">
      <c r="A435" s="11">
        <v>504</v>
      </c>
      <c r="B435" s="11" t="s">
        <v>28</v>
      </c>
      <c r="C435" s="11" t="s">
        <v>140</v>
      </c>
      <c r="D435" s="11">
        <v>1</v>
      </c>
      <c r="E435" s="11" t="s">
        <v>4</v>
      </c>
      <c r="F435" s="12">
        <v>38300</v>
      </c>
      <c r="G435" s="12">
        <v>38300</v>
      </c>
      <c r="H435" s="11" t="str">
        <f t="shared" si="18"/>
        <v>平成4年12月5日</v>
      </c>
      <c r="I435" s="22">
        <f t="shared" si="17"/>
        <v>33943</v>
      </c>
      <c r="J435" s="1" t="str">
        <f>"00737343"</f>
        <v>00737343</v>
      </c>
      <c r="K435" s="1" t="str">
        <f>"５０７　　　　　　　　　　　　　　　　　"</f>
        <v>５０７　　　　　　　　　　　　　　　　　</v>
      </c>
      <c r="L435" s="1"/>
    </row>
    <row r="436" spans="1:12" ht="18" customHeight="1" x14ac:dyDescent="0.15">
      <c r="A436" s="11">
        <v>505</v>
      </c>
      <c r="B436" s="11" t="s">
        <v>28</v>
      </c>
      <c r="C436" s="11" t="s">
        <v>140</v>
      </c>
      <c r="D436" s="11">
        <v>1</v>
      </c>
      <c r="E436" s="11" t="s">
        <v>4</v>
      </c>
      <c r="F436" s="12">
        <v>38300</v>
      </c>
      <c r="G436" s="12">
        <v>38300</v>
      </c>
      <c r="H436" s="11" t="str">
        <f t="shared" si="18"/>
        <v>平成4年12月5日</v>
      </c>
      <c r="I436" s="22">
        <f t="shared" si="17"/>
        <v>33943</v>
      </c>
      <c r="J436" s="1" t="str">
        <f>"00737345"</f>
        <v>00737345</v>
      </c>
      <c r="K436" s="1" t="str">
        <f>"５０８　　　　　　　　　　　　　　　　　"</f>
        <v>５０８　　　　　　　　　　　　　　　　　</v>
      </c>
      <c r="L436" s="1"/>
    </row>
    <row r="437" spans="1:12" ht="18" customHeight="1" x14ac:dyDescent="0.15">
      <c r="A437" s="11">
        <v>506</v>
      </c>
      <c r="B437" s="11" t="s">
        <v>28</v>
      </c>
      <c r="C437" s="11" t="s">
        <v>140</v>
      </c>
      <c r="D437" s="11">
        <v>1</v>
      </c>
      <c r="E437" s="11" t="s">
        <v>4</v>
      </c>
      <c r="F437" s="12">
        <v>38300</v>
      </c>
      <c r="G437" s="12">
        <v>38300</v>
      </c>
      <c r="H437" s="11" t="str">
        <f t="shared" si="18"/>
        <v>平成4年12月5日</v>
      </c>
      <c r="I437" s="22">
        <f t="shared" si="17"/>
        <v>33943</v>
      </c>
      <c r="J437" s="1" t="str">
        <f>"00737347"</f>
        <v>00737347</v>
      </c>
      <c r="K437" s="1" t="str">
        <f>"５０９　　　　　　　　　　　　　　　　　"</f>
        <v>５０９　　　　　　　　　　　　　　　　　</v>
      </c>
      <c r="L437" s="1"/>
    </row>
    <row r="438" spans="1:12" ht="18" customHeight="1" x14ac:dyDescent="0.15">
      <c r="A438" s="11">
        <v>507</v>
      </c>
      <c r="B438" s="11" t="s">
        <v>28</v>
      </c>
      <c r="C438" s="11" t="s">
        <v>140</v>
      </c>
      <c r="D438" s="11">
        <v>1</v>
      </c>
      <c r="E438" s="11" t="s">
        <v>4</v>
      </c>
      <c r="F438" s="12">
        <v>38300</v>
      </c>
      <c r="G438" s="12">
        <v>38300</v>
      </c>
      <c r="H438" s="11" t="str">
        <f t="shared" si="18"/>
        <v>平成4年12月5日</v>
      </c>
      <c r="I438" s="22">
        <f t="shared" si="17"/>
        <v>33943</v>
      </c>
      <c r="J438" s="1" t="str">
        <f>"00737349"</f>
        <v>00737349</v>
      </c>
      <c r="K438" s="1" t="str">
        <f>"５１０　　　　　　　　　　　　　　　　　"</f>
        <v>５１０　　　　　　　　　　　　　　　　　</v>
      </c>
      <c r="L438" s="1"/>
    </row>
    <row r="439" spans="1:12" ht="18" customHeight="1" x14ac:dyDescent="0.15">
      <c r="A439" s="11">
        <v>508</v>
      </c>
      <c r="B439" s="11" t="s">
        <v>28</v>
      </c>
      <c r="C439" s="11" t="s">
        <v>140</v>
      </c>
      <c r="D439" s="11">
        <v>1</v>
      </c>
      <c r="E439" s="11" t="s">
        <v>4</v>
      </c>
      <c r="F439" s="12">
        <v>38300</v>
      </c>
      <c r="G439" s="12">
        <v>38300</v>
      </c>
      <c r="H439" s="11" t="str">
        <f t="shared" si="18"/>
        <v>平成4年12月5日</v>
      </c>
      <c r="I439" s="22">
        <f t="shared" si="17"/>
        <v>33943</v>
      </c>
      <c r="J439" s="1" t="str">
        <f>"00737350"</f>
        <v>00737350</v>
      </c>
      <c r="K439" s="1" t="str">
        <f>"５１１　　　　　　　　　　　　　　　　　"</f>
        <v>５１１　　　　　　　　　　　　　　　　　</v>
      </c>
      <c r="L439" s="1"/>
    </row>
    <row r="440" spans="1:12" ht="18" customHeight="1" x14ac:dyDescent="0.15">
      <c r="A440" s="11">
        <v>509</v>
      </c>
      <c r="B440" s="11" t="s">
        <v>28</v>
      </c>
      <c r="C440" s="11" t="s">
        <v>140</v>
      </c>
      <c r="D440" s="11">
        <v>1</v>
      </c>
      <c r="E440" s="11" t="s">
        <v>4</v>
      </c>
      <c r="F440" s="12">
        <v>38300</v>
      </c>
      <c r="G440" s="12">
        <v>38300</v>
      </c>
      <c r="H440" s="11" t="str">
        <f t="shared" si="18"/>
        <v>平成4年12月5日</v>
      </c>
      <c r="I440" s="22">
        <f t="shared" si="17"/>
        <v>33943</v>
      </c>
      <c r="J440" s="1" t="str">
        <f>"00737353"</f>
        <v>00737353</v>
      </c>
      <c r="K440" s="1" t="str">
        <f>"５１２　　　　　　　　　　　　　　　　　"</f>
        <v>５１２　　　　　　　　　　　　　　　　　</v>
      </c>
      <c r="L440" s="1"/>
    </row>
    <row r="441" spans="1:12" ht="18" customHeight="1" x14ac:dyDescent="0.15">
      <c r="A441" s="11">
        <v>510</v>
      </c>
      <c r="B441" s="11" t="s">
        <v>28</v>
      </c>
      <c r="C441" s="11" t="s">
        <v>140</v>
      </c>
      <c r="D441" s="11">
        <v>1</v>
      </c>
      <c r="E441" s="11" t="s">
        <v>4</v>
      </c>
      <c r="F441" s="12">
        <v>38300</v>
      </c>
      <c r="G441" s="12">
        <v>38300</v>
      </c>
      <c r="H441" s="11" t="str">
        <f t="shared" si="18"/>
        <v>平成4年12月5日</v>
      </c>
      <c r="I441" s="22">
        <f t="shared" si="17"/>
        <v>33943</v>
      </c>
      <c r="J441" s="1" t="str">
        <f>"00737355"</f>
        <v>00737355</v>
      </c>
      <c r="K441" s="1" t="str">
        <f>"５１３　　　　　　　　　　　　　　　　　"</f>
        <v>５１３　　　　　　　　　　　　　　　　　</v>
      </c>
      <c r="L441" s="1"/>
    </row>
    <row r="442" spans="1:12" ht="18" customHeight="1" x14ac:dyDescent="0.15">
      <c r="A442" s="11">
        <v>511</v>
      </c>
      <c r="B442" s="11" t="s">
        <v>28</v>
      </c>
      <c r="C442" s="11" t="s">
        <v>140</v>
      </c>
      <c r="D442" s="11">
        <v>1</v>
      </c>
      <c r="E442" s="11" t="s">
        <v>4</v>
      </c>
      <c r="F442" s="12">
        <v>38300</v>
      </c>
      <c r="G442" s="12">
        <v>38300</v>
      </c>
      <c r="H442" s="11" t="str">
        <f t="shared" si="18"/>
        <v>平成4年12月5日</v>
      </c>
      <c r="I442" s="22">
        <f t="shared" si="17"/>
        <v>33943</v>
      </c>
      <c r="J442" s="1" t="str">
        <f>"00737357"</f>
        <v>00737357</v>
      </c>
      <c r="K442" s="1" t="str">
        <f>"５１４　　　　　　　　　　　　　　　　　"</f>
        <v>５１４　　　　　　　　　　　　　　　　　</v>
      </c>
      <c r="L442" s="1"/>
    </row>
    <row r="443" spans="1:12" ht="18" customHeight="1" x14ac:dyDescent="0.15">
      <c r="A443" s="11">
        <v>512</v>
      </c>
      <c r="B443" s="11" t="s">
        <v>28</v>
      </c>
      <c r="C443" s="11" t="s">
        <v>140</v>
      </c>
      <c r="D443" s="11">
        <v>1</v>
      </c>
      <c r="E443" s="11" t="s">
        <v>4</v>
      </c>
      <c r="F443" s="12">
        <v>38300</v>
      </c>
      <c r="G443" s="12">
        <v>38300</v>
      </c>
      <c r="H443" s="11" t="str">
        <f t="shared" si="18"/>
        <v>平成4年12月5日</v>
      </c>
      <c r="I443" s="22">
        <f t="shared" si="17"/>
        <v>33943</v>
      </c>
      <c r="J443" s="1" t="str">
        <f>"00737359"</f>
        <v>00737359</v>
      </c>
      <c r="K443" s="1" t="str">
        <f>"５１５　　　　　　　　　　　　　　　　　"</f>
        <v>５１５　　　　　　　　　　　　　　　　　</v>
      </c>
      <c r="L443" s="1"/>
    </row>
    <row r="444" spans="1:12" ht="18" customHeight="1" x14ac:dyDescent="0.15">
      <c r="A444" s="11">
        <v>513</v>
      </c>
      <c r="B444" s="11" t="s">
        <v>28</v>
      </c>
      <c r="C444" s="11" t="s">
        <v>140</v>
      </c>
      <c r="D444" s="11">
        <v>1</v>
      </c>
      <c r="E444" s="11" t="s">
        <v>4</v>
      </c>
      <c r="F444" s="12">
        <v>38300</v>
      </c>
      <c r="G444" s="12">
        <v>38300</v>
      </c>
      <c r="H444" s="11" t="str">
        <f t="shared" si="18"/>
        <v>平成4年12月5日</v>
      </c>
      <c r="I444" s="22">
        <f t="shared" si="17"/>
        <v>33943</v>
      </c>
      <c r="J444" s="1" t="str">
        <f>"00737361"</f>
        <v>00737361</v>
      </c>
      <c r="K444" s="1" t="str">
        <f>"５１６　　　　　　　　　　　　　　　　　"</f>
        <v>５１６　　　　　　　　　　　　　　　　　</v>
      </c>
      <c r="L444" s="1"/>
    </row>
    <row r="445" spans="1:12" ht="18" customHeight="1" x14ac:dyDescent="0.15">
      <c r="A445" s="11">
        <v>514</v>
      </c>
      <c r="B445" s="11" t="s">
        <v>28</v>
      </c>
      <c r="C445" s="11" t="s">
        <v>140</v>
      </c>
      <c r="D445" s="11">
        <v>1</v>
      </c>
      <c r="E445" s="11" t="s">
        <v>4</v>
      </c>
      <c r="F445" s="12">
        <v>38300</v>
      </c>
      <c r="G445" s="12">
        <v>38300</v>
      </c>
      <c r="H445" s="11" t="str">
        <f t="shared" si="18"/>
        <v>平成4年12月5日</v>
      </c>
      <c r="I445" s="22">
        <f t="shared" si="17"/>
        <v>33943</v>
      </c>
      <c r="J445" s="1" t="str">
        <f>"00737363"</f>
        <v>00737363</v>
      </c>
      <c r="K445" s="1" t="str">
        <f>"５１７　　　　　　　　　　　　　　　　　"</f>
        <v>５１７　　　　　　　　　　　　　　　　　</v>
      </c>
      <c r="L445" s="1"/>
    </row>
    <row r="446" spans="1:12" ht="18" customHeight="1" x14ac:dyDescent="0.15">
      <c r="A446" s="11">
        <v>515</v>
      </c>
      <c r="B446" s="11" t="s">
        <v>28</v>
      </c>
      <c r="C446" s="11" t="s">
        <v>140</v>
      </c>
      <c r="D446" s="11">
        <v>1</v>
      </c>
      <c r="E446" s="11" t="s">
        <v>4</v>
      </c>
      <c r="F446" s="12">
        <v>38300</v>
      </c>
      <c r="G446" s="12">
        <v>38300</v>
      </c>
      <c r="H446" s="11" t="str">
        <f t="shared" si="18"/>
        <v>平成4年12月5日</v>
      </c>
      <c r="I446" s="22">
        <f t="shared" si="17"/>
        <v>33943</v>
      </c>
      <c r="J446" s="1" t="str">
        <f>"00737364"</f>
        <v>00737364</v>
      </c>
      <c r="K446" s="1" t="str">
        <f>"５１８　　　　　　　　　　　　　　　　　"</f>
        <v>５１８　　　　　　　　　　　　　　　　　</v>
      </c>
      <c r="L446" s="1"/>
    </row>
    <row r="447" spans="1:12" ht="18" customHeight="1" x14ac:dyDescent="0.15">
      <c r="A447" s="11">
        <v>516</v>
      </c>
      <c r="B447" s="11" t="s">
        <v>28</v>
      </c>
      <c r="C447" s="11" t="s">
        <v>140</v>
      </c>
      <c r="D447" s="11">
        <v>1</v>
      </c>
      <c r="E447" s="11" t="s">
        <v>4</v>
      </c>
      <c r="F447" s="12">
        <v>38300</v>
      </c>
      <c r="G447" s="12">
        <v>38300</v>
      </c>
      <c r="H447" s="11" t="str">
        <f t="shared" si="18"/>
        <v>平成4年12月5日</v>
      </c>
      <c r="I447" s="22">
        <f t="shared" si="17"/>
        <v>33943</v>
      </c>
      <c r="J447" s="1" t="str">
        <f>"00737366"</f>
        <v>00737366</v>
      </c>
      <c r="K447" s="1" t="str">
        <f>"５１９　　　　　　　　　　　　　　　　　"</f>
        <v>５１９　　　　　　　　　　　　　　　　　</v>
      </c>
      <c r="L447" s="1"/>
    </row>
    <row r="448" spans="1:12" ht="18" customHeight="1" x14ac:dyDescent="0.15">
      <c r="A448" s="11">
        <v>517</v>
      </c>
      <c r="B448" s="11" t="s">
        <v>28</v>
      </c>
      <c r="C448" s="11" t="s">
        <v>140</v>
      </c>
      <c r="D448" s="11">
        <v>1</v>
      </c>
      <c r="E448" s="11" t="s">
        <v>4</v>
      </c>
      <c r="F448" s="12">
        <v>38300</v>
      </c>
      <c r="G448" s="12">
        <v>38300</v>
      </c>
      <c r="H448" s="11" t="str">
        <f t="shared" si="18"/>
        <v>平成4年12月5日</v>
      </c>
      <c r="I448" s="22">
        <f t="shared" si="17"/>
        <v>33943</v>
      </c>
      <c r="J448" s="1" t="str">
        <f>"00737369"</f>
        <v>00737369</v>
      </c>
      <c r="K448" s="1" t="str">
        <f>"５２０　　　　　　　　　　　　　　　　　"</f>
        <v>５２０　　　　　　　　　　　　　　　　　</v>
      </c>
      <c r="L448" s="1"/>
    </row>
    <row r="449" spans="1:12" ht="18" customHeight="1" x14ac:dyDescent="0.15">
      <c r="A449" s="11">
        <v>518</v>
      </c>
      <c r="B449" s="11" t="s">
        <v>28</v>
      </c>
      <c r="C449" s="11" t="s">
        <v>140</v>
      </c>
      <c r="D449" s="11">
        <v>1</v>
      </c>
      <c r="E449" s="11" t="s">
        <v>4</v>
      </c>
      <c r="F449" s="12">
        <v>38300</v>
      </c>
      <c r="G449" s="12">
        <v>38300</v>
      </c>
      <c r="H449" s="11" t="str">
        <f t="shared" si="18"/>
        <v>平成4年12月5日</v>
      </c>
      <c r="I449" s="22">
        <f t="shared" si="17"/>
        <v>33943</v>
      </c>
      <c r="J449" s="1" t="str">
        <f>"00737371"</f>
        <v>00737371</v>
      </c>
      <c r="K449" s="1" t="str">
        <f>"５２１　　　　　　　　　　　　　　　　　"</f>
        <v>５２１　　　　　　　　　　　　　　　　　</v>
      </c>
      <c r="L449" s="1"/>
    </row>
    <row r="450" spans="1:12" ht="18" customHeight="1" x14ac:dyDescent="0.15">
      <c r="A450" s="11">
        <v>519</v>
      </c>
      <c r="B450" s="11" t="s">
        <v>28</v>
      </c>
      <c r="C450" s="11" t="s">
        <v>140</v>
      </c>
      <c r="D450" s="11">
        <v>1</v>
      </c>
      <c r="E450" s="11" t="s">
        <v>4</v>
      </c>
      <c r="F450" s="12">
        <v>38300</v>
      </c>
      <c r="G450" s="12">
        <v>38300</v>
      </c>
      <c r="H450" s="11" t="str">
        <f t="shared" si="18"/>
        <v>平成4年12月5日</v>
      </c>
      <c r="I450" s="22">
        <f t="shared" si="17"/>
        <v>33943</v>
      </c>
      <c r="J450" s="1" t="str">
        <f>"00737372"</f>
        <v>00737372</v>
      </c>
      <c r="K450" s="1" t="str">
        <f>"５２２　　　　　　　　　　　　　　　　　"</f>
        <v>５２２　　　　　　　　　　　　　　　　　</v>
      </c>
      <c r="L450" s="1"/>
    </row>
    <row r="451" spans="1:12" ht="18" customHeight="1" x14ac:dyDescent="0.15">
      <c r="A451" s="11">
        <v>520</v>
      </c>
      <c r="B451" s="11" t="s">
        <v>28</v>
      </c>
      <c r="C451" s="11" t="s">
        <v>140</v>
      </c>
      <c r="D451" s="11">
        <v>1</v>
      </c>
      <c r="E451" s="11" t="s">
        <v>4</v>
      </c>
      <c r="F451" s="12">
        <v>38300</v>
      </c>
      <c r="G451" s="12">
        <v>38300</v>
      </c>
      <c r="H451" s="11" t="str">
        <f t="shared" si="18"/>
        <v>平成4年12月5日</v>
      </c>
      <c r="I451" s="22">
        <f t="shared" si="17"/>
        <v>33943</v>
      </c>
      <c r="J451" s="1" t="str">
        <f>"00737374"</f>
        <v>00737374</v>
      </c>
      <c r="K451" s="1" t="str">
        <f>"５２３　　　　　　　　　　　　　　　　　"</f>
        <v>５２３　　　　　　　　　　　　　　　　　</v>
      </c>
      <c r="L451" s="1"/>
    </row>
    <row r="452" spans="1:12" ht="18" customHeight="1" x14ac:dyDescent="0.15">
      <c r="A452" s="11">
        <v>521</v>
      </c>
      <c r="B452" s="11" t="s">
        <v>28</v>
      </c>
      <c r="C452" s="11" t="s">
        <v>140</v>
      </c>
      <c r="D452" s="11">
        <v>1</v>
      </c>
      <c r="E452" s="11" t="s">
        <v>4</v>
      </c>
      <c r="F452" s="12">
        <v>38300</v>
      </c>
      <c r="G452" s="12">
        <v>38300</v>
      </c>
      <c r="H452" s="11" t="str">
        <f t="shared" si="18"/>
        <v>平成4年12月5日</v>
      </c>
      <c r="I452" s="22">
        <f t="shared" si="17"/>
        <v>33943</v>
      </c>
      <c r="J452" s="1" t="str">
        <f>"00737377"</f>
        <v>00737377</v>
      </c>
      <c r="K452" s="1" t="str">
        <f>"５２４　　　　　　　　　　　　　　　　　"</f>
        <v>５２４　　　　　　　　　　　　　　　　　</v>
      </c>
      <c r="L452" s="1"/>
    </row>
    <row r="453" spans="1:12" ht="18" customHeight="1" x14ac:dyDescent="0.15">
      <c r="A453" s="11">
        <v>522</v>
      </c>
      <c r="B453" s="11" t="s">
        <v>28</v>
      </c>
      <c r="C453" s="11" t="s">
        <v>140</v>
      </c>
      <c r="D453" s="11">
        <v>1</v>
      </c>
      <c r="E453" s="11" t="s">
        <v>4</v>
      </c>
      <c r="F453" s="12">
        <v>38300</v>
      </c>
      <c r="G453" s="12">
        <v>38300</v>
      </c>
      <c r="H453" s="11" t="str">
        <f t="shared" si="18"/>
        <v>平成4年12月5日</v>
      </c>
      <c r="I453" s="22">
        <f t="shared" si="17"/>
        <v>33943</v>
      </c>
      <c r="J453" s="1" t="str">
        <f>"00737379"</f>
        <v>00737379</v>
      </c>
      <c r="K453" s="1" t="str">
        <f>"５２５　　　　　　　　　　　　　　　　　"</f>
        <v>５２５　　　　　　　　　　　　　　　　　</v>
      </c>
      <c r="L453" s="1"/>
    </row>
    <row r="454" spans="1:12" ht="18" customHeight="1" x14ac:dyDescent="0.15">
      <c r="A454" s="11">
        <v>523</v>
      </c>
      <c r="B454" s="11" t="s">
        <v>28</v>
      </c>
      <c r="C454" s="11" t="s">
        <v>140</v>
      </c>
      <c r="D454" s="11">
        <v>1</v>
      </c>
      <c r="E454" s="11" t="s">
        <v>4</v>
      </c>
      <c r="F454" s="12">
        <v>38300</v>
      </c>
      <c r="G454" s="12">
        <v>38300</v>
      </c>
      <c r="H454" s="11" t="str">
        <f t="shared" si="18"/>
        <v>平成4年12月5日</v>
      </c>
      <c r="I454" s="22">
        <f t="shared" si="17"/>
        <v>33943</v>
      </c>
      <c r="J454" s="1" t="str">
        <f>"00737380"</f>
        <v>00737380</v>
      </c>
      <c r="K454" s="1" t="str">
        <f>"５２６　　　　　　　　　　　　　　　　　"</f>
        <v>５２６　　　　　　　　　　　　　　　　　</v>
      </c>
      <c r="L454" s="1"/>
    </row>
    <row r="455" spans="1:12" ht="18" customHeight="1" x14ac:dyDescent="0.15">
      <c r="A455" s="11">
        <v>524</v>
      </c>
      <c r="B455" s="11" t="s">
        <v>28</v>
      </c>
      <c r="C455" s="11" t="s">
        <v>141</v>
      </c>
      <c r="D455" s="11">
        <v>1</v>
      </c>
      <c r="E455" s="11" t="s">
        <v>4</v>
      </c>
      <c r="F455" s="12">
        <v>25100</v>
      </c>
      <c r="G455" s="12">
        <v>25100</v>
      </c>
      <c r="H455" s="11" t="str">
        <f t="shared" si="18"/>
        <v>平成4年12月5日</v>
      </c>
      <c r="I455" s="22">
        <f t="shared" si="17"/>
        <v>33943</v>
      </c>
      <c r="J455" s="1" t="str">
        <f>"00737415"</f>
        <v>00737415</v>
      </c>
      <c r="K455" s="1" t="str">
        <f>"７２６　　　　　　　　　　　　　　　　　"</f>
        <v>７２６　　　　　　　　　　　　　　　　　</v>
      </c>
      <c r="L455" s="1"/>
    </row>
    <row r="456" spans="1:12" ht="18" customHeight="1" x14ac:dyDescent="0.15">
      <c r="A456" s="11">
        <v>525</v>
      </c>
      <c r="B456" s="11" t="s">
        <v>28</v>
      </c>
      <c r="C456" s="11" t="s">
        <v>141</v>
      </c>
      <c r="D456" s="11">
        <v>1</v>
      </c>
      <c r="E456" s="11" t="s">
        <v>4</v>
      </c>
      <c r="F456" s="12">
        <v>25100</v>
      </c>
      <c r="G456" s="12">
        <v>25100</v>
      </c>
      <c r="H456" s="11" t="str">
        <f t="shared" si="18"/>
        <v>平成4年12月5日</v>
      </c>
      <c r="I456" s="22">
        <f t="shared" si="17"/>
        <v>33943</v>
      </c>
      <c r="J456" s="1" t="str">
        <f>"00737418"</f>
        <v>00737418</v>
      </c>
      <c r="K456" s="1" t="str">
        <f>"７３０　　　　　　　　　　　　　　　　　"</f>
        <v>７３０　　　　　　　　　　　　　　　　　</v>
      </c>
      <c r="L456" s="1"/>
    </row>
    <row r="457" spans="1:12" ht="18" customHeight="1" x14ac:dyDescent="0.15">
      <c r="A457" s="11">
        <v>526</v>
      </c>
      <c r="B457" s="11" t="s">
        <v>28</v>
      </c>
      <c r="C457" s="11" t="s">
        <v>142</v>
      </c>
      <c r="D457" s="11">
        <v>1</v>
      </c>
      <c r="E457" s="11" t="s">
        <v>4</v>
      </c>
      <c r="F457" s="12">
        <v>79300</v>
      </c>
      <c r="G457" s="12">
        <v>79300</v>
      </c>
      <c r="H457" s="11" t="str">
        <f t="shared" si="18"/>
        <v>平成4年12月5日</v>
      </c>
      <c r="I457" s="22">
        <f t="shared" si="17"/>
        <v>33943</v>
      </c>
      <c r="J457" s="1" t="str">
        <f>"00737420"</f>
        <v>00737420</v>
      </c>
      <c r="K457" s="1" t="str">
        <f>"７３１　　　　　　　　　　　　　　　　　"</f>
        <v>７３１　　　　　　　　　　　　　　　　　</v>
      </c>
      <c r="L457" s="1"/>
    </row>
    <row r="458" spans="1:12" ht="18" customHeight="1" x14ac:dyDescent="0.15">
      <c r="A458" s="11">
        <v>527</v>
      </c>
      <c r="B458" s="11" t="s">
        <v>28</v>
      </c>
      <c r="C458" s="11" t="s">
        <v>142</v>
      </c>
      <c r="D458" s="11">
        <v>1</v>
      </c>
      <c r="E458" s="11" t="s">
        <v>4</v>
      </c>
      <c r="F458" s="12">
        <v>79300</v>
      </c>
      <c r="G458" s="12">
        <v>79300</v>
      </c>
      <c r="H458" s="11" t="str">
        <f t="shared" si="18"/>
        <v>平成4年12月5日</v>
      </c>
      <c r="I458" s="22">
        <f t="shared" si="17"/>
        <v>33943</v>
      </c>
      <c r="J458" s="1" t="str">
        <f>"00737423"</f>
        <v>00737423</v>
      </c>
      <c r="K458" s="1" t="str">
        <f>"７３２　　　　　　　　　　　　　　　　　"</f>
        <v>７３２　　　　　　　　　　　　　　　　　</v>
      </c>
      <c r="L458" s="1"/>
    </row>
    <row r="459" spans="1:12" ht="18" customHeight="1" x14ac:dyDescent="0.15">
      <c r="A459" s="11">
        <v>1616</v>
      </c>
      <c r="B459" s="11" t="s">
        <v>7</v>
      </c>
      <c r="C459" s="11" t="s">
        <v>152</v>
      </c>
      <c r="D459" s="11">
        <v>1</v>
      </c>
      <c r="E459" s="11" t="s">
        <v>9</v>
      </c>
      <c r="F459" s="12">
        <v>107200</v>
      </c>
      <c r="G459" s="12">
        <v>107200</v>
      </c>
      <c r="H459" s="11" t="str">
        <f t="shared" si="18"/>
        <v>平成4年12月5日</v>
      </c>
      <c r="I459" s="22">
        <f t="shared" si="17"/>
        <v>33943</v>
      </c>
      <c r="J459" s="1" t="str">
        <f>"00739623"</f>
        <v>00739623</v>
      </c>
      <c r="K459" s="1" t="str">
        <f>"３０１　　　　　　　　　　　　　　　　　"</f>
        <v>３０１　　　　　　　　　　　　　　　　　</v>
      </c>
      <c r="L459" s="1"/>
    </row>
    <row r="460" spans="1:12" ht="18" customHeight="1" x14ac:dyDescent="0.15">
      <c r="A460" s="11">
        <v>1617</v>
      </c>
      <c r="B460" s="11" t="s">
        <v>7</v>
      </c>
      <c r="C460" s="11" t="s">
        <v>152</v>
      </c>
      <c r="D460" s="11">
        <v>1</v>
      </c>
      <c r="E460" s="11" t="s">
        <v>9</v>
      </c>
      <c r="F460" s="12">
        <v>107200</v>
      </c>
      <c r="G460" s="12">
        <v>107200</v>
      </c>
      <c r="H460" s="11" t="str">
        <f t="shared" si="18"/>
        <v>平成4年12月5日</v>
      </c>
      <c r="I460" s="22">
        <f t="shared" si="17"/>
        <v>33943</v>
      </c>
      <c r="J460" s="1" t="str">
        <f>"00739625"</f>
        <v>00739625</v>
      </c>
      <c r="K460" s="1" t="str">
        <f>"３０２　　　　　　　　　　　　　　　　　"</f>
        <v>３０２　　　　　　　　　　　　　　　　　</v>
      </c>
      <c r="L460" s="1"/>
    </row>
    <row r="461" spans="1:12" ht="18" customHeight="1" x14ac:dyDescent="0.15">
      <c r="A461" s="11">
        <v>1618</v>
      </c>
      <c r="B461" s="11" t="s">
        <v>7</v>
      </c>
      <c r="C461" s="11" t="s">
        <v>152</v>
      </c>
      <c r="D461" s="11">
        <v>1</v>
      </c>
      <c r="E461" s="11" t="s">
        <v>9</v>
      </c>
      <c r="F461" s="12">
        <v>107200</v>
      </c>
      <c r="G461" s="12">
        <v>107200</v>
      </c>
      <c r="H461" s="11" t="str">
        <f t="shared" si="18"/>
        <v>平成4年12月5日</v>
      </c>
      <c r="I461" s="22">
        <f t="shared" si="17"/>
        <v>33943</v>
      </c>
      <c r="J461" s="1" t="str">
        <f>"00739627"</f>
        <v>00739627</v>
      </c>
      <c r="K461" s="1" t="str">
        <f>"３０３　　　　　　　　　　　　　　　　　"</f>
        <v>３０３　　　　　　　　　　　　　　　　　</v>
      </c>
      <c r="L461" s="1"/>
    </row>
    <row r="462" spans="1:12" ht="18" customHeight="1" x14ac:dyDescent="0.15">
      <c r="A462" s="11">
        <v>1619</v>
      </c>
      <c r="B462" s="11" t="s">
        <v>7</v>
      </c>
      <c r="C462" s="11" t="s">
        <v>152</v>
      </c>
      <c r="D462" s="11">
        <v>1</v>
      </c>
      <c r="E462" s="11" t="s">
        <v>9</v>
      </c>
      <c r="F462" s="12">
        <v>107200</v>
      </c>
      <c r="G462" s="12">
        <v>107200</v>
      </c>
      <c r="H462" s="11" t="str">
        <f t="shared" si="18"/>
        <v>平成4年12月5日</v>
      </c>
      <c r="I462" s="22">
        <f t="shared" si="17"/>
        <v>33943</v>
      </c>
      <c r="J462" s="1" t="str">
        <f>"00739629"</f>
        <v>00739629</v>
      </c>
      <c r="K462" s="1" t="str">
        <f>"３０４　　　　　　　　　　　　　　　　　"</f>
        <v>３０４　　　　　　　　　　　　　　　　　</v>
      </c>
      <c r="L462" s="1"/>
    </row>
    <row r="463" spans="1:12" ht="18" customHeight="1" x14ac:dyDescent="0.15">
      <c r="A463" s="11">
        <v>1620</v>
      </c>
      <c r="B463" s="11" t="s">
        <v>7</v>
      </c>
      <c r="C463" s="11" t="s">
        <v>153</v>
      </c>
      <c r="D463" s="11">
        <v>1</v>
      </c>
      <c r="E463" s="11" t="s">
        <v>9</v>
      </c>
      <c r="F463" s="12">
        <v>166200</v>
      </c>
      <c r="G463" s="12">
        <v>166200</v>
      </c>
      <c r="H463" s="11" t="str">
        <f t="shared" si="18"/>
        <v>平成4年12月5日</v>
      </c>
      <c r="I463" s="22">
        <f t="shared" si="17"/>
        <v>33943</v>
      </c>
      <c r="J463" s="1" t="str">
        <f>"00739631"</f>
        <v>00739631</v>
      </c>
      <c r="K463" s="1" t="str">
        <f>"３０６　　　　　　　　　　　　　　　　　"</f>
        <v>３０６　　　　　　　　　　　　　　　　　</v>
      </c>
      <c r="L463" s="1"/>
    </row>
    <row r="464" spans="1:12" ht="18" customHeight="1" x14ac:dyDescent="0.15">
      <c r="A464" s="11">
        <v>1621</v>
      </c>
      <c r="B464" s="11" t="s">
        <v>7</v>
      </c>
      <c r="C464" s="11" t="s">
        <v>153</v>
      </c>
      <c r="D464" s="11">
        <v>1</v>
      </c>
      <c r="E464" s="11" t="s">
        <v>9</v>
      </c>
      <c r="F464" s="12">
        <v>166200</v>
      </c>
      <c r="G464" s="12">
        <v>166200</v>
      </c>
      <c r="H464" s="11" t="str">
        <f t="shared" si="18"/>
        <v>平成4年12月5日</v>
      </c>
      <c r="I464" s="22">
        <f t="shared" si="17"/>
        <v>33943</v>
      </c>
      <c r="J464" s="1" t="str">
        <f>"00739633"</f>
        <v>00739633</v>
      </c>
      <c r="K464" s="1" t="str">
        <f>"３０７　　　　　　　　　　　　　　　　　"</f>
        <v>３０７　　　　　　　　　　　　　　　　　</v>
      </c>
      <c r="L464" s="1"/>
    </row>
    <row r="465" spans="1:12" ht="18" customHeight="1" x14ac:dyDescent="0.15">
      <c r="A465" s="11">
        <v>1622</v>
      </c>
      <c r="B465" s="11" t="s">
        <v>7</v>
      </c>
      <c r="C465" s="11" t="s">
        <v>153</v>
      </c>
      <c r="D465" s="11">
        <v>1</v>
      </c>
      <c r="E465" s="11" t="s">
        <v>9</v>
      </c>
      <c r="F465" s="12">
        <v>255600</v>
      </c>
      <c r="G465" s="12">
        <v>255600</v>
      </c>
      <c r="H465" s="11" t="str">
        <f t="shared" si="18"/>
        <v>平成4年12月5日</v>
      </c>
      <c r="I465" s="22">
        <f t="shared" si="17"/>
        <v>33943</v>
      </c>
      <c r="J465" s="1" t="str">
        <f>"00739635"</f>
        <v>00739635</v>
      </c>
      <c r="K465" s="1" t="str">
        <f>"３０８　　　　　　　　　　　　　　　　　"</f>
        <v>３０８　　　　　　　　　　　　　　　　　</v>
      </c>
      <c r="L465" s="1"/>
    </row>
    <row r="466" spans="1:12" ht="18" customHeight="1" x14ac:dyDescent="0.15">
      <c r="A466" s="11">
        <v>1623</v>
      </c>
      <c r="B466" s="11" t="s">
        <v>53</v>
      </c>
      <c r="C466" s="11" t="s">
        <v>154</v>
      </c>
      <c r="D466" s="11">
        <v>1</v>
      </c>
      <c r="E466" s="11" t="s">
        <v>4</v>
      </c>
      <c r="F466" s="12">
        <v>80900</v>
      </c>
      <c r="G466" s="12">
        <v>80900</v>
      </c>
      <c r="H466" s="11" t="str">
        <f t="shared" si="18"/>
        <v>平成4年12月5日</v>
      </c>
      <c r="I466" s="22">
        <f t="shared" ref="I466:I529" si="19">DATEVALUE(H466)</f>
        <v>33943</v>
      </c>
      <c r="J466" s="1" t="str">
        <f>"00739639"</f>
        <v>00739639</v>
      </c>
      <c r="K466" s="1" t="str">
        <f>"３０１　　　　　　　　　　　　　　　　　"</f>
        <v>３０１　　　　　　　　　　　　　　　　　</v>
      </c>
      <c r="L466" s="1"/>
    </row>
    <row r="467" spans="1:12" ht="18" customHeight="1" x14ac:dyDescent="0.15">
      <c r="A467" s="11">
        <v>1624</v>
      </c>
      <c r="B467" s="11" t="s">
        <v>53</v>
      </c>
      <c r="C467" s="11" t="s">
        <v>154</v>
      </c>
      <c r="D467" s="11">
        <v>1</v>
      </c>
      <c r="E467" s="11" t="s">
        <v>4</v>
      </c>
      <c r="F467" s="12">
        <v>80900</v>
      </c>
      <c r="G467" s="12">
        <v>80900</v>
      </c>
      <c r="H467" s="11" t="str">
        <f t="shared" si="18"/>
        <v>平成4年12月5日</v>
      </c>
      <c r="I467" s="22">
        <f t="shared" si="19"/>
        <v>33943</v>
      </c>
      <c r="J467" s="1" t="str">
        <f>"00739641"</f>
        <v>00739641</v>
      </c>
      <c r="K467" s="1" t="str">
        <f>"３０３　　　　　　　　　　　　　　　　　"</f>
        <v>３０３　　　　　　　　　　　　　　　　　</v>
      </c>
      <c r="L467" s="1"/>
    </row>
    <row r="468" spans="1:12" ht="18" customHeight="1" x14ac:dyDescent="0.15">
      <c r="A468" s="11">
        <v>1625</v>
      </c>
      <c r="B468" s="11" t="s">
        <v>53</v>
      </c>
      <c r="C468" s="11" t="s">
        <v>154</v>
      </c>
      <c r="D468" s="11">
        <v>1</v>
      </c>
      <c r="E468" s="11" t="s">
        <v>4</v>
      </c>
      <c r="F468" s="12">
        <v>80900</v>
      </c>
      <c r="G468" s="12">
        <v>80900</v>
      </c>
      <c r="H468" s="11" t="str">
        <f t="shared" si="18"/>
        <v>平成4年12月5日</v>
      </c>
      <c r="I468" s="22">
        <f t="shared" si="19"/>
        <v>33943</v>
      </c>
      <c r="J468" s="1" t="str">
        <f>"00739643"</f>
        <v>00739643</v>
      </c>
      <c r="K468" s="1" t="str">
        <f>"３０４　　　　　　　　　　　　　　　　　"</f>
        <v>３０４　　　　　　　　　　　　　　　　　</v>
      </c>
      <c r="L468" s="1"/>
    </row>
    <row r="469" spans="1:12" ht="18" customHeight="1" x14ac:dyDescent="0.15">
      <c r="A469" s="11">
        <v>1626</v>
      </c>
      <c r="B469" s="11" t="s">
        <v>53</v>
      </c>
      <c r="C469" s="11" t="s">
        <v>154</v>
      </c>
      <c r="D469" s="11">
        <v>1</v>
      </c>
      <c r="E469" s="11" t="s">
        <v>4</v>
      </c>
      <c r="F469" s="12">
        <v>80900</v>
      </c>
      <c r="G469" s="12">
        <v>80900</v>
      </c>
      <c r="H469" s="11" t="str">
        <f t="shared" si="18"/>
        <v>平成4年12月5日</v>
      </c>
      <c r="I469" s="22">
        <f t="shared" si="19"/>
        <v>33943</v>
      </c>
      <c r="J469" s="1" t="str">
        <f>"00739645"</f>
        <v>00739645</v>
      </c>
      <c r="K469" s="1" t="str">
        <f>"３０５　　　　　　　　　　　　　　　　　"</f>
        <v>３０５　　　　　　　　　　　　　　　　　</v>
      </c>
      <c r="L469" s="1"/>
    </row>
    <row r="470" spans="1:12" ht="18" customHeight="1" x14ac:dyDescent="0.15">
      <c r="A470" s="11">
        <v>1627</v>
      </c>
      <c r="B470" s="11" t="s">
        <v>53</v>
      </c>
      <c r="C470" s="11" t="s">
        <v>154</v>
      </c>
      <c r="D470" s="11">
        <v>1</v>
      </c>
      <c r="E470" s="11" t="s">
        <v>4</v>
      </c>
      <c r="F470" s="12">
        <v>80900</v>
      </c>
      <c r="G470" s="12">
        <v>80900</v>
      </c>
      <c r="H470" s="11" t="str">
        <f t="shared" si="18"/>
        <v>平成4年12月5日</v>
      </c>
      <c r="I470" s="22">
        <f t="shared" si="19"/>
        <v>33943</v>
      </c>
      <c r="J470" s="1" t="str">
        <f>"00739647"</f>
        <v>00739647</v>
      </c>
      <c r="K470" s="1" t="str">
        <f>"３０６　　　　　　　　　　　　　　　　　"</f>
        <v>３０６　　　　　　　　　　　　　　　　　</v>
      </c>
      <c r="L470" s="1"/>
    </row>
    <row r="471" spans="1:12" ht="18" customHeight="1" x14ac:dyDescent="0.15">
      <c r="A471" s="11">
        <v>1628</v>
      </c>
      <c r="B471" s="11" t="s">
        <v>53</v>
      </c>
      <c r="C471" s="11" t="s">
        <v>154</v>
      </c>
      <c r="D471" s="11">
        <v>1</v>
      </c>
      <c r="E471" s="11" t="s">
        <v>4</v>
      </c>
      <c r="F471" s="12">
        <v>80900</v>
      </c>
      <c r="G471" s="12">
        <v>80900</v>
      </c>
      <c r="H471" s="11" t="str">
        <f t="shared" si="18"/>
        <v>平成4年12月5日</v>
      </c>
      <c r="I471" s="22">
        <f t="shared" si="19"/>
        <v>33943</v>
      </c>
      <c r="J471" s="1" t="str">
        <f>"00739649"</f>
        <v>00739649</v>
      </c>
      <c r="K471" s="1" t="str">
        <f>"３０８　　　　　　　　　　　　　　　　　"</f>
        <v>３０８　　　　　　　　　　　　　　　　　</v>
      </c>
      <c r="L471" s="1"/>
    </row>
    <row r="472" spans="1:12" ht="18" customHeight="1" x14ac:dyDescent="0.15">
      <c r="A472" s="11">
        <v>1629</v>
      </c>
      <c r="B472" s="11" t="s">
        <v>53</v>
      </c>
      <c r="C472" s="11" t="s">
        <v>154</v>
      </c>
      <c r="D472" s="11">
        <v>1</v>
      </c>
      <c r="E472" s="11" t="s">
        <v>4</v>
      </c>
      <c r="F472" s="12">
        <v>80900</v>
      </c>
      <c r="G472" s="12">
        <v>80900</v>
      </c>
      <c r="H472" s="11" t="str">
        <f t="shared" si="18"/>
        <v>平成4年12月5日</v>
      </c>
      <c r="I472" s="22">
        <f t="shared" si="19"/>
        <v>33943</v>
      </c>
      <c r="J472" s="1" t="str">
        <f>"00739651"</f>
        <v>00739651</v>
      </c>
      <c r="K472" s="1" t="str">
        <f>"３０９　　　　　　　　　　　　　　　　　"</f>
        <v>３０９　　　　　　　　　　　　　　　　　</v>
      </c>
      <c r="L472" s="1"/>
    </row>
    <row r="473" spans="1:12" ht="18" customHeight="1" x14ac:dyDescent="0.15">
      <c r="A473" s="11">
        <v>1630</v>
      </c>
      <c r="B473" s="11" t="s">
        <v>53</v>
      </c>
      <c r="C473" s="11" t="s">
        <v>154</v>
      </c>
      <c r="D473" s="11">
        <v>1</v>
      </c>
      <c r="E473" s="11" t="s">
        <v>4</v>
      </c>
      <c r="F473" s="12">
        <v>80900</v>
      </c>
      <c r="G473" s="12">
        <v>80900</v>
      </c>
      <c r="H473" s="11" t="str">
        <f t="shared" si="18"/>
        <v>平成4年12月5日</v>
      </c>
      <c r="I473" s="22">
        <f t="shared" si="19"/>
        <v>33943</v>
      </c>
      <c r="J473" s="1" t="str">
        <f>"00739653"</f>
        <v>00739653</v>
      </c>
      <c r="K473" s="1" t="str">
        <f>"３１０　　　　　　　　　　　　　　　　　"</f>
        <v>３１０　　　　　　　　　　　　　　　　　</v>
      </c>
      <c r="L473" s="1"/>
    </row>
    <row r="474" spans="1:12" ht="18" customHeight="1" x14ac:dyDescent="0.15">
      <c r="A474" s="11">
        <v>1631</v>
      </c>
      <c r="B474" s="11" t="s">
        <v>53</v>
      </c>
      <c r="C474" s="11" t="s">
        <v>155</v>
      </c>
      <c r="D474" s="11">
        <v>1</v>
      </c>
      <c r="E474" s="11" t="s">
        <v>4</v>
      </c>
      <c r="F474" s="12">
        <v>226600</v>
      </c>
      <c r="G474" s="12">
        <v>226600</v>
      </c>
      <c r="H474" s="11" t="str">
        <f t="shared" si="18"/>
        <v>平成4年12月5日</v>
      </c>
      <c r="I474" s="22">
        <f t="shared" si="19"/>
        <v>33943</v>
      </c>
      <c r="J474" s="1" t="str">
        <f>"00739655"</f>
        <v>00739655</v>
      </c>
      <c r="K474" s="1" t="str">
        <f>"３１１　　　　　　　　　　　　　　　　　"</f>
        <v>３１１　　　　　　　　　　　　　　　　　</v>
      </c>
      <c r="L474" s="1"/>
    </row>
    <row r="475" spans="1:12" ht="18" customHeight="1" x14ac:dyDescent="0.15">
      <c r="A475" s="11">
        <v>1632</v>
      </c>
      <c r="B475" s="11" t="s">
        <v>53</v>
      </c>
      <c r="C475" s="11" t="s">
        <v>155</v>
      </c>
      <c r="D475" s="11">
        <v>1</v>
      </c>
      <c r="E475" s="11" t="s">
        <v>4</v>
      </c>
      <c r="F475" s="12">
        <v>226600</v>
      </c>
      <c r="G475" s="12">
        <v>226600</v>
      </c>
      <c r="H475" s="11" t="str">
        <f t="shared" si="18"/>
        <v>平成4年12月5日</v>
      </c>
      <c r="I475" s="22">
        <f t="shared" si="19"/>
        <v>33943</v>
      </c>
      <c r="J475" s="1" t="str">
        <f>"00739657"</f>
        <v>00739657</v>
      </c>
      <c r="K475" s="1" t="str">
        <f>"３１２　　　　　　　　　　　　　　　　　"</f>
        <v>３１２　　　　　　　　　　　　　　　　　</v>
      </c>
      <c r="L475" s="1"/>
    </row>
    <row r="476" spans="1:12" ht="18" customHeight="1" x14ac:dyDescent="0.15">
      <c r="A476" s="11">
        <v>1633</v>
      </c>
      <c r="B476" s="11" t="s">
        <v>53</v>
      </c>
      <c r="C476" s="11" t="s">
        <v>155</v>
      </c>
      <c r="D476" s="11">
        <v>1</v>
      </c>
      <c r="E476" s="11" t="s">
        <v>4</v>
      </c>
      <c r="F476" s="12">
        <v>226600</v>
      </c>
      <c r="G476" s="12">
        <v>226600</v>
      </c>
      <c r="H476" s="11" t="str">
        <f t="shared" si="18"/>
        <v>平成4年12月5日</v>
      </c>
      <c r="I476" s="22">
        <f t="shared" si="19"/>
        <v>33943</v>
      </c>
      <c r="J476" s="1" t="str">
        <f>"00739659"</f>
        <v>00739659</v>
      </c>
      <c r="K476" s="1" t="str">
        <f>"３１３　　　　　　　　　　　　　　　　　"</f>
        <v>３１３　　　　　　　　　　　　　　　　　</v>
      </c>
      <c r="L476" s="1"/>
    </row>
    <row r="477" spans="1:12" ht="18" customHeight="1" x14ac:dyDescent="0.15">
      <c r="A477" s="11">
        <v>1634</v>
      </c>
      <c r="B477" s="11" t="s">
        <v>53</v>
      </c>
      <c r="C477" s="11" t="s">
        <v>155</v>
      </c>
      <c r="D477" s="11">
        <v>1</v>
      </c>
      <c r="E477" s="11" t="s">
        <v>4</v>
      </c>
      <c r="F477" s="12">
        <v>226600</v>
      </c>
      <c r="G477" s="12">
        <v>226600</v>
      </c>
      <c r="H477" s="11" t="str">
        <f t="shared" si="18"/>
        <v>平成4年12月5日</v>
      </c>
      <c r="I477" s="22">
        <f t="shared" si="19"/>
        <v>33943</v>
      </c>
      <c r="J477" s="1" t="str">
        <f>"00739661"</f>
        <v>00739661</v>
      </c>
      <c r="K477" s="1" t="str">
        <f>"３１４　　　　　　　　　　　　　　　　　"</f>
        <v>３１４　　　　　　　　　　　　　　　　　</v>
      </c>
      <c r="L477" s="1"/>
    </row>
    <row r="478" spans="1:12" ht="18" customHeight="1" x14ac:dyDescent="0.15">
      <c r="A478" s="11">
        <v>1635</v>
      </c>
      <c r="B478" s="11" t="s">
        <v>53</v>
      </c>
      <c r="C478" s="11" t="s">
        <v>155</v>
      </c>
      <c r="D478" s="11">
        <v>1</v>
      </c>
      <c r="E478" s="11" t="s">
        <v>4</v>
      </c>
      <c r="F478" s="12">
        <v>226600</v>
      </c>
      <c r="G478" s="12">
        <v>226600</v>
      </c>
      <c r="H478" s="11" t="str">
        <f t="shared" si="18"/>
        <v>平成4年12月5日</v>
      </c>
      <c r="I478" s="22">
        <f t="shared" si="19"/>
        <v>33943</v>
      </c>
      <c r="J478" s="1" t="str">
        <f>"00739663"</f>
        <v>00739663</v>
      </c>
      <c r="K478" s="1" t="str">
        <f>"３１５　　　　　　　　　　　　　　　　　"</f>
        <v>３１５　　　　　　　　　　　　　　　　　</v>
      </c>
      <c r="L478" s="1"/>
    </row>
    <row r="479" spans="1:12" ht="18" customHeight="1" x14ac:dyDescent="0.15">
      <c r="A479" s="11">
        <v>1636</v>
      </c>
      <c r="B479" s="11" t="s">
        <v>53</v>
      </c>
      <c r="C479" s="11" t="s">
        <v>155</v>
      </c>
      <c r="D479" s="11">
        <v>1</v>
      </c>
      <c r="E479" s="11" t="s">
        <v>4</v>
      </c>
      <c r="F479" s="12">
        <v>226600</v>
      </c>
      <c r="G479" s="12">
        <v>226600</v>
      </c>
      <c r="H479" s="11" t="str">
        <f t="shared" si="18"/>
        <v>平成4年12月5日</v>
      </c>
      <c r="I479" s="22">
        <f t="shared" si="19"/>
        <v>33943</v>
      </c>
      <c r="J479" s="1" t="str">
        <f>"00739665"</f>
        <v>00739665</v>
      </c>
      <c r="K479" s="1" t="str">
        <f>"３１６　　　　　　　　　　　　　　　　　"</f>
        <v>３１６　　　　　　　　　　　　　　　　　</v>
      </c>
      <c r="L479" s="1"/>
    </row>
    <row r="480" spans="1:12" ht="18" customHeight="1" x14ac:dyDescent="0.15">
      <c r="A480" s="11">
        <v>1637</v>
      </c>
      <c r="B480" s="11" t="s">
        <v>53</v>
      </c>
      <c r="C480" s="11" t="s">
        <v>155</v>
      </c>
      <c r="D480" s="11">
        <v>1</v>
      </c>
      <c r="E480" s="11" t="s">
        <v>4</v>
      </c>
      <c r="F480" s="12">
        <v>226600</v>
      </c>
      <c r="G480" s="12">
        <v>226600</v>
      </c>
      <c r="H480" s="11" t="str">
        <f t="shared" si="18"/>
        <v>平成4年12月5日</v>
      </c>
      <c r="I480" s="22">
        <f t="shared" si="19"/>
        <v>33943</v>
      </c>
      <c r="J480" s="1" t="str">
        <f>"00739667"</f>
        <v>00739667</v>
      </c>
      <c r="K480" s="1" t="str">
        <f>"３１７　　　　　　　　　　　　　　　　　"</f>
        <v>３１７　　　　　　　　　　　　　　　　　</v>
      </c>
      <c r="L480" s="1"/>
    </row>
    <row r="481" spans="1:12" ht="18" customHeight="1" x14ac:dyDescent="0.15">
      <c r="A481" s="11">
        <v>1638</v>
      </c>
      <c r="B481" s="11" t="s">
        <v>53</v>
      </c>
      <c r="C481" s="11" t="s">
        <v>155</v>
      </c>
      <c r="D481" s="11">
        <v>1</v>
      </c>
      <c r="E481" s="11" t="s">
        <v>4</v>
      </c>
      <c r="F481" s="12">
        <v>226600</v>
      </c>
      <c r="G481" s="12">
        <v>226600</v>
      </c>
      <c r="H481" s="11" t="str">
        <f t="shared" si="18"/>
        <v>平成4年12月5日</v>
      </c>
      <c r="I481" s="22">
        <f t="shared" si="19"/>
        <v>33943</v>
      </c>
      <c r="J481" s="1" t="str">
        <f>"00739669"</f>
        <v>00739669</v>
      </c>
      <c r="K481" s="1" t="str">
        <f>"３１８　　　　　　　　　　　　　　　　　"</f>
        <v>３１８　　　　　　　　　　　　　　　　　</v>
      </c>
      <c r="L481" s="1"/>
    </row>
    <row r="482" spans="1:12" ht="18" customHeight="1" x14ac:dyDescent="0.15">
      <c r="A482" s="11">
        <v>1639</v>
      </c>
      <c r="B482" s="11" t="s">
        <v>53</v>
      </c>
      <c r="C482" s="11" t="s">
        <v>155</v>
      </c>
      <c r="D482" s="11">
        <v>1</v>
      </c>
      <c r="E482" s="11" t="s">
        <v>4</v>
      </c>
      <c r="F482" s="12">
        <v>226600</v>
      </c>
      <c r="G482" s="12">
        <v>226600</v>
      </c>
      <c r="H482" s="11" t="str">
        <f t="shared" si="18"/>
        <v>平成4年12月5日</v>
      </c>
      <c r="I482" s="22">
        <f t="shared" si="19"/>
        <v>33943</v>
      </c>
      <c r="J482" s="1" t="str">
        <f>"00739671"</f>
        <v>00739671</v>
      </c>
      <c r="K482" s="1" t="str">
        <f>"３１９　　　　　　　　　　　　　　　　　"</f>
        <v>３１９　　　　　　　　　　　　　　　　　</v>
      </c>
      <c r="L482" s="1"/>
    </row>
    <row r="483" spans="1:12" ht="18" customHeight="1" x14ac:dyDescent="0.15">
      <c r="A483" s="11">
        <v>1640</v>
      </c>
      <c r="B483" s="11" t="s">
        <v>53</v>
      </c>
      <c r="C483" s="11" t="s">
        <v>156</v>
      </c>
      <c r="D483" s="11">
        <v>1</v>
      </c>
      <c r="E483" s="11" t="s">
        <v>4</v>
      </c>
      <c r="F483" s="12">
        <v>20600</v>
      </c>
      <c r="G483" s="12">
        <v>20600</v>
      </c>
      <c r="H483" s="11" t="str">
        <f t="shared" si="18"/>
        <v>平成4年12月5日</v>
      </c>
      <c r="I483" s="22">
        <f t="shared" si="19"/>
        <v>33943</v>
      </c>
      <c r="J483" s="1" t="str">
        <f>"00739673"</f>
        <v>00739673</v>
      </c>
      <c r="K483" s="1" t="str">
        <f>"３２３　　　　　　　　　　　　　　　　　"</f>
        <v>３２３　　　　　　　　　　　　　　　　　</v>
      </c>
      <c r="L483" s="1"/>
    </row>
    <row r="484" spans="1:12" ht="18" customHeight="1" x14ac:dyDescent="0.15">
      <c r="A484" s="11">
        <v>1641</v>
      </c>
      <c r="B484" s="11" t="s">
        <v>53</v>
      </c>
      <c r="C484" s="11" t="s">
        <v>156</v>
      </c>
      <c r="D484" s="11">
        <v>1</v>
      </c>
      <c r="E484" s="11" t="s">
        <v>4</v>
      </c>
      <c r="F484" s="12">
        <v>20600</v>
      </c>
      <c r="G484" s="12">
        <v>20600</v>
      </c>
      <c r="H484" s="11" t="str">
        <f t="shared" si="18"/>
        <v>平成4年12月5日</v>
      </c>
      <c r="I484" s="22">
        <f t="shared" si="19"/>
        <v>33943</v>
      </c>
      <c r="J484" s="1" t="str">
        <f>"00739675"</f>
        <v>00739675</v>
      </c>
      <c r="K484" s="1" t="str">
        <f>"３２４　　　　　　　　　　　　　　　　　"</f>
        <v>３２４　　　　　　　　　　　　　　　　　</v>
      </c>
      <c r="L484" s="1"/>
    </row>
    <row r="485" spans="1:12" ht="18" customHeight="1" x14ac:dyDescent="0.15">
      <c r="A485" s="11">
        <v>1642</v>
      </c>
      <c r="B485" s="11" t="s">
        <v>53</v>
      </c>
      <c r="C485" s="11" t="s">
        <v>156</v>
      </c>
      <c r="D485" s="11">
        <v>1</v>
      </c>
      <c r="E485" s="11" t="s">
        <v>4</v>
      </c>
      <c r="F485" s="12">
        <v>20600</v>
      </c>
      <c r="G485" s="12">
        <v>20600</v>
      </c>
      <c r="H485" s="11" t="str">
        <f t="shared" si="18"/>
        <v>平成4年12月5日</v>
      </c>
      <c r="I485" s="22">
        <f t="shared" si="19"/>
        <v>33943</v>
      </c>
      <c r="J485" s="1" t="str">
        <f>"00739677"</f>
        <v>00739677</v>
      </c>
      <c r="K485" s="1" t="str">
        <f>"３２５　　　　　　　　　　　　　　　　　"</f>
        <v>３２５　　　　　　　　　　　　　　　　　</v>
      </c>
      <c r="L485" s="1"/>
    </row>
    <row r="486" spans="1:12" ht="18" customHeight="1" x14ac:dyDescent="0.15">
      <c r="A486" s="11">
        <v>1643</v>
      </c>
      <c r="B486" s="11" t="s">
        <v>53</v>
      </c>
      <c r="C486" s="11" t="s">
        <v>156</v>
      </c>
      <c r="D486" s="11">
        <v>1</v>
      </c>
      <c r="E486" s="11" t="s">
        <v>4</v>
      </c>
      <c r="F486" s="12">
        <v>20600</v>
      </c>
      <c r="G486" s="12">
        <v>20600</v>
      </c>
      <c r="H486" s="11" t="str">
        <f t="shared" si="18"/>
        <v>平成4年12月5日</v>
      </c>
      <c r="I486" s="22">
        <f t="shared" si="19"/>
        <v>33943</v>
      </c>
      <c r="J486" s="1" t="str">
        <f>"00739679"</f>
        <v>00739679</v>
      </c>
      <c r="K486" s="1" t="str">
        <f>"３２８　　　　　　　　　　　　　　　　　"</f>
        <v>３２８　　　　　　　　　　　　　　　　　</v>
      </c>
      <c r="L486" s="1"/>
    </row>
    <row r="487" spans="1:12" ht="18" customHeight="1" x14ac:dyDescent="0.15">
      <c r="A487" s="11">
        <v>1644</v>
      </c>
      <c r="B487" s="11" t="s">
        <v>53</v>
      </c>
      <c r="C487" s="11" t="s">
        <v>156</v>
      </c>
      <c r="D487" s="11">
        <v>1</v>
      </c>
      <c r="E487" s="11" t="s">
        <v>4</v>
      </c>
      <c r="F487" s="12">
        <v>20600</v>
      </c>
      <c r="G487" s="12">
        <v>20600</v>
      </c>
      <c r="H487" s="11" t="str">
        <f t="shared" si="18"/>
        <v>平成4年12月5日</v>
      </c>
      <c r="I487" s="22">
        <f t="shared" si="19"/>
        <v>33943</v>
      </c>
      <c r="J487" s="1" t="str">
        <f>"00739681"</f>
        <v>00739681</v>
      </c>
      <c r="K487" s="1" t="str">
        <f>"３２９　　　　　　　　　　　　　　　　　"</f>
        <v>３２９　　　　　　　　　　　　　　　　　</v>
      </c>
      <c r="L487" s="1"/>
    </row>
    <row r="488" spans="1:12" ht="18" customHeight="1" x14ac:dyDescent="0.15">
      <c r="A488" s="11">
        <v>1645</v>
      </c>
      <c r="B488" s="11" t="s">
        <v>53</v>
      </c>
      <c r="C488" s="11" t="s">
        <v>156</v>
      </c>
      <c r="D488" s="11">
        <v>1</v>
      </c>
      <c r="E488" s="11" t="s">
        <v>4</v>
      </c>
      <c r="F488" s="12">
        <v>20600</v>
      </c>
      <c r="G488" s="12">
        <v>20600</v>
      </c>
      <c r="H488" s="11" t="str">
        <f t="shared" si="18"/>
        <v>平成4年12月5日</v>
      </c>
      <c r="I488" s="22">
        <f t="shared" si="19"/>
        <v>33943</v>
      </c>
      <c r="J488" s="1" t="str">
        <f>"00739683"</f>
        <v>00739683</v>
      </c>
      <c r="K488" s="1" t="str">
        <f>"３３０　　　　　　　　　　　　　　　　　"</f>
        <v>３３０　　　　　　　　　　　　　　　　　</v>
      </c>
      <c r="L488" s="1"/>
    </row>
    <row r="489" spans="1:12" ht="18" customHeight="1" x14ac:dyDescent="0.15">
      <c r="A489" s="11">
        <v>1646</v>
      </c>
      <c r="B489" s="11" t="s">
        <v>53</v>
      </c>
      <c r="C489" s="11" t="s">
        <v>156</v>
      </c>
      <c r="D489" s="11">
        <v>1</v>
      </c>
      <c r="E489" s="11" t="s">
        <v>4</v>
      </c>
      <c r="F489" s="12">
        <v>20600</v>
      </c>
      <c r="G489" s="12">
        <v>20600</v>
      </c>
      <c r="H489" s="11" t="str">
        <f t="shared" si="18"/>
        <v>平成4年12月5日</v>
      </c>
      <c r="I489" s="22">
        <f t="shared" si="19"/>
        <v>33943</v>
      </c>
      <c r="J489" s="1" t="str">
        <f>"00739685"</f>
        <v>00739685</v>
      </c>
      <c r="K489" s="1" t="str">
        <f>"３３１　　　　　　　　　　　　　　　　　"</f>
        <v>３３１　　　　　　　　　　　　　　　　　</v>
      </c>
      <c r="L489" s="1"/>
    </row>
    <row r="490" spans="1:12" ht="18" customHeight="1" x14ac:dyDescent="0.15">
      <c r="A490" s="11">
        <v>1647</v>
      </c>
      <c r="B490" s="11" t="s">
        <v>53</v>
      </c>
      <c r="C490" s="11" t="s">
        <v>156</v>
      </c>
      <c r="D490" s="11">
        <v>1</v>
      </c>
      <c r="E490" s="11" t="s">
        <v>4</v>
      </c>
      <c r="F490" s="12">
        <v>20600</v>
      </c>
      <c r="G490" s="12">
        <v>20600</v>
      </c>
      <c r="H490" s="11" t="str">
        <f t="shared" si="18"/>
        <v>平成4年12月5日</v>
      </c>
      <c r="I490" s="22">
        <f t="shared" si="19"/>
        <v>33943</v>
      </c>
      <c r="J490" s="1" t="str">
        <f>"00739687"</f>
        <v>00739687</v>
      </c>
      <c r="K490" s="1" t="str">
        <f>"３３２　　　　　　　　　　　　　　　　　"</f>
        <v>３３２　　　　　　　　　　　　　　　　　</v>
      </c>
      <c r="L490" s="1"/>
    </row>
    <row r="491" spans="1:12" ht="18" customHeight="1" x14ac:dyDescent="0.15">
      <c r="A491" s="11">
        <v>1648</v>
      </c>
      <c r="B491" s="11" t="s">
        <v>53</v>
      </c>
      <c r="C491" s="11" t="s">
        <v>156</v>
      </c>
      <c r="D491" s="11">
        <v>1</v>
      </c>
      <c r="E491" s="11" t="s">
        <v>4</v>
      </c>
      <c r="F491" s="12">
        <v>20600</v>
      </c>
      <c r="G491" s="12">
        <v>20600</v>
      </c>
      <c r="H491" s="11" t="str">
        <f t="shared" si="18"/>
        <v>平成4年12月5日</v>
      </c>
      <c r="I491" s="22">
        <f t="shared" si="19"/>
        <v>33943</v>
      </c>
      <c r="J491" s="1" t="str">
        <f>"00739689"</f>
        <v>00739689</v>
      </c>
      <c r="K491" s="1" t="str">
        <f>"３３３　　　　　　　　　　　　　　　　　"</f>
        <v>３３３　　　　　　　　　　　　　　　　　</v>
      </c>
      <c r="L491" s="1"/>
    </row>
    <row r="492" spans="1:12" ht="18" customHeight="1" x14ac:dyDescent="0.15">
      <c r="A492" s="11">
        <v>1649</v>
      </c>
      <c r="B492" s="11" t="s">
        <v>53</v>
      </c>
      <c r="C492" s="11" t="s">
        <v>156</v>
      </c>
      <c r="D492" s="11">
        <v>1</v>
      </c>
      <c r="E492" s="11" t="s">
        <v>4</v>
      </c>
      <c r="F492" s="12">
        <v>20600</v>
      </c>
      <c r="G492" s="12">
        <v>20600</v>
      </c>
      <c r="H492" s="11" t="str">
        <f t="shared" si="18"/>
        <v>平成4年12月5日</v>
      </c>
      <c r="I492" s="22">
        <f t="shared" si="19"/>
        <v>33943</v>
      </c>
      <c r="J492" s="1" t="str">
        <f>"00739691"</f>
        <v>00739691</v>
      </c>
      <c r="K492" s="1" t="str">
        <f>"３３５　　　　　　　　　　　　　　　　　"</f>
        <v>３３５　　　　　　　　　　　　　　　　　</v>
      </c>
      <c r="L492" s="1"/>
    </row>
    <row r="493" spans="1:12" ht="18" customHeight="1" x14ac:dyDescent="0.15">
      <c r="A493" s="11">
        <v>1650</v>
      </c>
      <c r="B493" s="11" t="s">
        <v>53</v>
      </c>
      <c r="C493" s="11" t="s">
        <v>156</v>
      </c>
      <c r="D493" s="11">
        <v>1</v>
      </c>
      <c r="E493" s="11" t="s">
        <v>4</v>
      </c>
      <c r="F493" s="12">
        <v>20600</v>
      </c>
      <c r="G493" s="12">
        <v>20600</v>
      </c>
      <c r="H493" s="11" t="str">
        <f t="shared" si="18"/>
        <v>平成4年12月5日</v>
      </c>
      <c r="I493" s="22">
        <f t="shared" si="19"/>
        <v>33943</v>
      </c>
      <c r="J493" s="1" t="str">
        <f>"00739693"</f>
        <v>00739693</v>
      </c>
      <c r="K493" s="1" t="str">
        <f>"３３６　　　　　　　　　　　　　　　　　"</f>
        <v>３３６　　　　　　　　　　　　　　　　　</v>
      </c>
      <c r="L493" s="1"/>
    </row>
    <row r="494" spans="1:12" ht="18" customHeight="1" x14ac:dyDescent="0.15">
      <c r="A494" s="11">
        <v>1651</v>
      </c>
      <c r="B494" s="11" t="s">
        <v>53</v>
      </c>
      <c r="C494" s="11" t="s">
        <v>156</v>
      </c>
      <c r="D494" s="11">
        <v>1</v>
      </c>
      <c r="E494" s="11" t="s">
        <v>4</v>
      </c>
      <c r="F494" s="12">
        <v>20600</v>
      </c>
      <c r="G494" s="12">
        <v>20600</v>
      </c>
      <c r="H494" s="11" t="str">
        <f t="shared" ref="H494:H557" si="20">"平成4年12月5日"</f>
        <v>平成4年12月5日</v>
      </c>
      <c r="I494" s="22">
        <f t="shared" si="19"/>
        <v>33943</v>
      </c>
      <c r="J494" s="1" t="str">
        <f>"00739695"</f>
        <v>00739695</v>
      </c>
      <c r="K494" s="1" t="str">
        <f>"３３７　　　　　　　　　　　　　　　　　"</f>
        <v>３３７　　　　　　　　　　　　　　　　　</v>
      </c>
      <c r="L494" s="1"/>
    </row>
    <row r="495" spans="1:12" ht="18" customHeight="1" x14ac:dyDescent="0.15">
      <c r="A495" s="11">
        <v>1652</v>
      </c>
      <c r="B495" s="11" t="s">
        <v>53</v>
      </c>
      <c r="C495" s="11" t="s">
        <v>156</v>
      </c>
      <c r="D495" s="11">
        <v>1</v>
      </c>
      <c r="E495" s="11" t="s">
        <v>4</v>
      </c>
      <c r="F495" s="12">
        <v>20600</v>
      </c>
      <c r="G495" s="12">
        <v>20600</v>
      </c>
      <c r="H495" s="11" t="str">
        <f t="shared" si="20"/>
        <v>平成4年12月5日</v>
      </c>
      <c r="I495" s="22">
        <f t="shared" si="19"/>
        <v>33943</v>
      </c>
      <c r="J495" s="1" t="str">
        <f>"00739697"</f>
        <v>00739697</v>
      </c>
      <c r="K495" s="1" t="str">
        <f>"３３８　　　　　　　　　　　　　　　　　"</f>
        <v>３３８　　　　　　　　　　　　　　　　　</v>
      </c>
      <c r="L495" s="1"/>
    </row>
    <row r="496" spans="1:12" ht="18" customHeight="1" x14ac:dyDescent="0.15">
      <c r="A496" s="11">
        <v>1653</v>
      </c>
      <c r="B496" s="11" t="s">
        <v>53</v>
      </c>
      <c r="C496" s="11" t="s">
        <v>156</v>
      </c>
      <c r="D496" s="11">
        <v>1</v>
      </c>
      <c r="E496" s="11" t="s">
        <v>4</v>
      </c>
      <c r="F496" s="12">
        <v>20600</v>
      </c>
      <c r="G496" s="12">
        <v>20600</v>
      </c>
      <c r="H496" s="11" t="str">
        <f t="shared" si="20"/>
        <v>平成4年12月5日</v>
      </c>
      <c r="I496" s="22">
        <f t="shared" si="19"/>
        <v>33943</v>
      </c>
      <c r="J496" s="1" t="str">
        <f>"00739699"</f>
        <v>00739699</v>
      </c>
      <c r="K496" s="1" t="str">
        <f>"３３９　　　　　　　　　　　　　　　　　"</f>
        <v>３３９　　　　　　　　　　　　　　　　　</v>
      </c>
      <c r="L496" s="1"/>
    </row>
    <row r="497" spans="1:12" ht="18" customHeight="1" x14ac:dyDescent="0.15">
      <c r="A497" s="11">
        <v>1654</v>
      </c>
      <c r="B497" s="11" t="s">
        <v>53</v>
      </c>
      <c r="C497" s="11" t="s">
        <v>156</v>
      </c>
      <c r="D497" s="11">
        <v>1</v>
      </c>
      <c r="E497" s="11" t="s">
        <v>4</v>
      </c>
      <c r="F497" s="12">
        <v>20600</v>
      </c>
      <c r="G497" s="12">
        <v>20600</v>
      </c>
      <c r="H497" s="11" t="str">
        <f t="shared" si="20"/>
        <v>平成4年12月5日</v>
      </c>
      <c r="I497" s="22">
        <f t="shared" si="19"/>
        <v>33943</v>
      </c>
      <c r="J497" s="1" t="str">
        <f>"00739701"</f>
        <v>00739701</v>
      </c>
      <c r="K497" s="1" t="str">
        <f>"３４１　　　　　　　　　　　　　　　　　"</f>
        <v>３４１　　　　　　　　　　　　　　　　　</v>
      </c>
      <c r="L497" s="1"/>
    </row>
    <row r="498" spans="1:12" ht="18" customHeight="1" x14ac:dyDescent="0.15">
      <c r="A498" s="11">
        <v>1655</v>
      </c>
      <c r="B498" s="11" t="s">
        <v>53</v>
      </c>
      <c r="C498" s="11" t="s">
        <v>156</v>
      </c>
      <c r="D498" s="11">
        <v>1</v>
      </c>
      <c r="E498" s="11" t="s">
        <v>4</v>
      </c>
      <c r="F498" s="12">
        <v>20600</v>
      </c>
      <c r="G498" s="12">
        <v>20600</v>
      </c>
      <c r="H498" s="11" t="str">
        <f t="shared" si="20"/>
        <v>平成4年12月5日</v>
      </c>
      <c r="I498" s="22">
        <f t="shared" si="19"/>
        <v>33943</v>
      </c>
      <c r="J498" s="1" t="str">
        <f>"00739703"</f>
        <v>00739703</v>
      </c>
      <c r="K498" s="1" t="str">
        <f>"３４２　　　　　　　　　　　　　　　　　"</f>
        <v>３４２　　　　　　　　　　　　　　　　　</v>
      </c>
      <c r="L498" s="1"/>
    </row>
    <row r="499" spans="1:12" ht="18" customHeight="1" x14ac:dyDescent="0.15">
      <c r="A499" s="11">
        <v>1656</v>
      </c>
      <c r="B499" s="11" t="s">
        <v>53</v>
      </c>
      <c r="C499" s="11" t="s">
        <v>156</v>
      </c>
      <c r="D499" s="11">
        <v>1</v>
      </c>
      <c r="E499" s="11" t="s">
        <v>4</v>
      </c>
      <c r="F499" s="12">
        <v>20600</v>
      </c>
      <c r="G499" s="12">
        <v>20600</v>
      </c>
      <c r="H499" s="11" t="str">
        <f t="shared" si="20"/>
        <v>平成4年12月5日</v>
      </c>
      <c r="I499" s="22">
        <f t="shared" si="19"/>
        <v>33943</v>
      </c>
      <c r="J499" s="1" t="str">
        <f>"00739705"</f>
        <v>00739705</v>
      </c>
      <c r="K499" s="1" t="str">
        <f>"３４３　　　　　　　　　　　　　　　　　"</f>
        <v>３４３　　　　　　　　　　　　　　　　　</v>
      </c>
      <c r="L499" s="1"/>
    </row>
    <row r="500" spans="1:12" ht="18" customHeight="1" x14ac:dyDescent="0.15">
      <c r="A500" s="11">
        <v>1657</v>
      </c>
      <c r="B500" s="11" t="s">
        <v>53</v>
      </c>
      <c r="C500" s="11" t="s">
        <v>156</v>
      </c>
      <c r="D500" s="11">
        <v>1</v>
      </c>
      <c r="E500" s="11" t="s">
        <v>4</v>
      </c>
      <c r="F500" s="12">
        <v>20600</v>
      </c>
      <c r="G500" s="12">
        <v>20600</v>
      </c>
      <c r="H500" s="11" t="str">
        <f t="shared" si="20"/>
        <v>平成4年12月5日</v>
      </c>
      <c r="I500" s="22">
        <f t="shared" si="19"/>
        <v>33943</v>
      </c>
      <c r="J500" s="1" t="str">
        <f>"00739707"</f>
        <v>00739707</v>
      </c>
      <c r="K500" s="1" t="str">
        <f>"３４４　　　　　　　　　　　　　　　　　"</f>
        <v>３４４　　　　　　　　　　　　　　　　　</v>
      </c>
      <c r="L500" s="1"/>
    </row>
    <row r="501" spans="1:12" ht="18" customHeight="1" x14ac:dyDescent="0.15">
      <c r="A501" s="11">
        <v>1658</v>
      </c>
      <c r="B501" s="11" t="s">
        <v>53</v>
      </c>
      <c r="C501" s="11" t="s">
        <v>156</v>
      </c>
      <c r="D501" s="11">
        <v>1</v>
      </c>
      <c r="E501" s="11" t="s">
        <v>4</v>
      </c>
      <c r="F501" s="12">
        <v>20600</v>
      </c>
      <c r="G501" s="12">
        <v>20600</v>
      </c>
      <c r="H501" s="11" t="str">
        <f t="shared" si="20"/>
        <v>平成4年12月5日</v>
      </c>
      <c r="I501" s="22">
        <f t="shared" si="19"/>
        <v>33943</v>
      </c>
      <c r="J501" s="1" t="str">
        <f>"00739709"</f>
        <v>00739709</v>
      </c>
      <c r="K501" s="1" t="str">
        <f>"３４５　　　　　　　　　　　　　　　　　"</f>
        <v>３４５　　　　　　　　　　　　　　　　　</v>
      </c>
      <c r="L501" s="1"/>
    </row>
    <row r="502" spans="1:12" ht="18" customHeight="1" x14ac:dyDescent="0.15">
      <c r="A502" s="11">
        <v>1659</v>
      </c>
      <c r="B502" s="11" t="s">
        <v>53</v>
      </c>
      <c r="C502" s="11" t="s">
        <v>156</v>
      </c>
      <c r="D502" s="11">
        <v>1</v>
      </c>
      <c r="E502" s="11" t="s">
        <v>4</v>
      </c>
      <c r="F502" s="12">
        <v>20600</v>
      </c>
      <c r="G502" s="12">
        <v>20600</v>
      </c>
      <c r="H502" s="11" t="str">
        <f t="shared" si="20"/>
        <v>平成4年12月5日</v>
      </c>
      <c r="I502" s="22">
        <f t="shared" si="19"/>
        <v>33943</v>
      </c>
      <c r="J502" s="1" t="str">
        <f>"00739711"</f>
        <v>00739711</v>
      </c>
      <c r="K502" s="1" t="str">
        <f>"３４６　　　　　　　　　　　　　　　　　"</f>
        <v>３４６　　　　　　　　　　　　　　　　　</v>
      </c>
      <c r="L502" s="1"/>
    </row>
    <row r="503" spans="1:12" ht="18" customHeight="1" x14ac:dyDescent="0.15">
      <c r="A503" s="11">
        <v>1660</v>
      </c>
      <c r="B503" s="11" t="s">
        <v>53</v>
      </c>
      <c r="C503" s="11" t="s">
        <v>156</v>
      </c>
      <c r="D503" s="11">
        <v>1</v>
      </c>
      <c r="E503" s="11" t="s">
        <v>4</v>
      </c>
      <c r="F503" s="12">
        <v>20600</v>
      </c>
      <c r="G503" s="12">
        <v>20600</v>
      </c>
      <c r="H503" s="11" t="str">
        <f t="shared" si="20"/>
        <v>平成4年12月5日</v>
      </c>
      <c r="I503" s="22">
        <f t="shared" si="19"/>
        <v>33943</v>
      </c>
      <c r="J503" s="1" t="str">
        <f>"00739713"</f>
        <v>00739713</v>
      </c>
      <c r="K503" s="1" t="str">
        <f>"３４７　　　　　　　　　　　　　　　　　"</f>
        <v>３４７　　　　　　　　　　　　　　　　　</v>
      </c>
      <c r="L503" s="1"/>
    </row>
    <row r="504" spans="1:12" ht="18" customHeight="1" x14ac:dyDescent="0.15">
      <c r="A504" s="11">
        <v>1661</v>
      </c>
      <c r="B504" s="11" t="s">
        <v>53</v>
      </c>
      <c r="C504" s="11" t="s">
        <v>156</v>
      </c>
      <c r="D504" s="11">
        <v>1</v>
      </c>
      <c r="E504" s="11" t="s">
        <v>4</v>
      </c>
      <c r="F504" s="12">
        <v>20600</v>
      </c>
      <c r="G504" s="12">
        <v>20600</v>
      </c>
      <c r="H504" s="11" t="str">
        <f t="shared" si="20"/>
        <v>平成4年12月5日</v>
      </c>
      <c r="I504" s="22">
        <f t="shared" si="19"/>
        <v>33943</v>
      </c>
      <c r="J504" s="1" t="str">
        <f>"00739715"</f>
        <v>00739715</v>
      </c>
      <c r="K504" s="1" t="str">
        <f>"３４８　　　　　　　　　　　　　　　　　"</f>
        <v>３４８　　　　　　　　　　　　　　　　　</v>
      </c>
      <c r="L504" s="1"/>
    </row>
    <row r="505" spans="1:12" ht="18" customHeight="1" x14ac:dyDescent="0.15">
      <c r="A505" s="11">
        <v>1662</v>
      </c>
      <c r="B505" s="11" t="s">
        <v>53</v>
      </c>
      <c r="C505" s="11" t="s">
        <v>156</v>
      </c>
      <c r="D505" s="11">
        <v>1</v>
      </c>
      <c r="E505" s="11" t="s">
        <v>4</v>
      </c>
      <c r="F505" s="12">
        <v>20600</v>
      </c>
      <c r="G505" s="12">
        <v>20600</v>
      </c>
      <c r="H505" s="11" t="str">
        <f t="shared" si="20"/>
        <v>平成4年12月5日</v>
      </c>
      <c r="I505" s="22">
        <f t="shared" si="19"/>
        <v>33943</v>
      </c>
      <c r="J505" s="1" t="str">
        <f>"00739717"</f>
        <v>00739717</v>
      </c>
      <c r="K505" s="1" t="str">
        <f>"３４９　　　　　　　　　　　　　　　　　"</f>
        <v>３４９　　　　　　　　　　　　　　　　　</v>
      </c>
      <c r="L505" s="1"/>
    </row>
    <row r="506" spans="1:12" ht="18" customHeight="1" x14ac:dyDescent="0.15">
      <c r="A506" s="11">
        <v>1663</v>
      </c>
      <c r="B506" s="11" t="s">
        <v>53</v>
      </c>
      <c r="C506" s="11" t="s">
        <v>156</v>
      </c>
      <c r="D506" s="11">
        <v>1</v>
      </c>
      <c r="E506" s="11" t="s">
        <v>4</v>
      </c>
      <c r="F506" s="12">
        <v>20600</v>
      </c>
      <c r="G506" s="12">
        <v>20600</v>
      </c>
      <c r="H506" s="11" t="str">
        <f t="shared" si="20"/>
        <v>平成4年12月5日</v>
      </c>
      <c r="I506" s="22">
        <f t="shared" si="19"/>
        <v>33943</v>
      </c>
      <c r="J506" s="1" t="str">
        <f>"00739719"</f>
        <v>00739719</v>
      </c>
      <c r="K506" s="1" t="str">
        <f>"３５０　　　　　　　　　　　　　　　　　"</f>
        <v>３５０　　　　　　　　　　　　　　　　　</v>
      </c>
      <c r="L506" s="1"/>
    </row>
    <row r="507" spans="1:12" ht="18" customHeight="1" x14ac:dyDescent="0.15">
      <c r="A507" s="11">
        <v>1664</v>
      </c>
      <c r="B507" s="11" t="s">
        <v>53</v>
      </c>
      <c r="C507" s="11" t="s">
        <v>156</v>
      </c>
      <c r="D507" s="11">
        <v>1</v>
      </c>
      <c r="E507" s="11" t="s">
        <v>4</v>
      </c>
      <c r="F507" s="12">
        <v>20600</v>
      </c>
      <c r="G507" s="12">
        <v>20600</v>
      </c>
      <c r="H507" s="11" t="str">
        <f t="shared" si="20"/>
        <v>平成4年12月5日</v>
      </c>
      <c r="I507" s="22">
        <f t="shared" si="19"/>
        <v>33943</v>
      </c>
      <c r="J507" s="1" t="str">
        <f>"00739721"</f>
        <v>00739721</v>
      </c>
      <c r="K507" s="1" t="str">
        <f>"３５１　　　　　　　　　　　　　　　　　"</f>
        <v>３５１　　　　　　　　　　　　　　　　　</v>
      </c>
      <c r="L507" s="1"/>
    </row>
    <row r="508" spans="1:12" ht="18" customHeight="1" x14ac:dyDescent="0.15">
      <c r="A508" s="11">
        <v>1665</v>
      </c>
      <c r="B508" s="11" t="s">
        <v>53</v>
      </c>
      <c r="C508" s="11" t="s">
        <v>156</v>
      </c>
      <c r="D508" s="11">
        <v>1</v>
      </c>
      <c r="E508" s="11" t="s">
        <v>4</v>
      </c>
      <c r="F508" s="12">
        <v>20600</v>
      </c>
      <c r="G508" s="12">
        <v>20600</v>
      </c>
      <c r="H508" s="11" t="str">
        <f t="shared" si="20"/>
        <v>平成4年12月5日</v>
      </c>
      <c r="I508" s="22">
        <f t="shared" si="19"/>
        <v>33943</v>
      </c>
      <c r="J508" s="1" t="str">
        <f>"00739723"</f>
        <v>00739723</v>
      </c>
      <c r="K508" s="1" t="str">
        <f>"３５２　　　　　　　　　　　　　　　　　"</f>
        <v>３５２　　　　　　　　　　　　　　　　　</v>
      </c>
      <c r="L508" s="1"/>
    </row>
    <row r="509" spans="1:12" ht="18" customHeight="1" x14ac:dyDescent="0.15">
      <c r="A509" s="11">
        <v>1666</v>
      </c>
      <c r="B509" s="11" t="s">
        <v>53</v>
      </c>
      <c r="C509" s="11" t="s">
        <v>156</v>
      </c>
      <c r="D509" s="11">
        <v>1</v>
      </c>
      <c r="E509" s="11" t="s">
        <v>4</v>
      </c>
      <c r="F509" s="12">
        <v>20600</v>
      </c>
      <c r="G509" s="12">
        <v>20600</v>
      </c>
      <c r="H509" s="11" t="str">
        <f t="shared" si="20"/>
        <v>平成4年12月5日</v>
      </c>
      <c r="I509" s="22">
        <f t="shared" si="19"/>
        <v>33943</v>
      </c>
      <c r="J509" s="1" t="str">
        <f>"00739725"</f>
        <v>00739725</v>
      </c>
      <c r="K509" s="1" t="str">
        <f>"３５３　　　　　　　　　　　　　　　　　"</f>
        <v>３５３　　　　　　　　　　　　　　　　　</v>
      </c>
      <c r="L509" s="1"/>
    </row>
    <row r="510" spans="1:12" ht="18" customHeight="1" x14ac:dyDescent="0.15">
      <c r="A510" s="11">
        <v>1667</v>
      </c>
      <c r="B510" s="11" t="s">
        <v>53</v>
      </c>
      <c r="C510" s="11" t="s">
        <v>156</v>
      </c>
      <c r="D510" s="11">
        <v>1</v>
      </c>
      <c r="E510" s="11" t="s">
        <v>4</v>
      </c>
      <c r="F510" s="12">
        <v>20600</v>
      </c>
      <c r="G510" s="12">
        <v>20600</v>
      </c>
      <c r="H510" s="11" t="str">
        <f t="shared" si="20"/>
        <v>平成4年12月5日</v>
      </c>
      <c r="I510" s="22">
        <f t="shared" si="19"/>
        <v>33943</v>
      </c>
      <c r="J510" s="1" t="str">
        <f>"00739727"</f>
        <v>00739727</v>
      </c>
      <c r="K510" s="1" t="str">
        <f>"３５４　　　　　　　　　　　　　　　　　"</f>
        <v>３５４　　　　　　　　　　　　　　　　　</v>
      </c>
      <c r="L510" s="1"/>
    </row>
    <row r="511" spans="1:12" ht="18" customHeight="1" x14ac:dyDescent="0.15">
      <c r="A511" s="11">
        <v>1668</v>
      </c>
      <c r="B511" s="11" t="s">
        <v>53</v>
      </c>
      <c r="C511" s="11" t="s">
        <v>156</v>
      </c>
      <c r="D511" s="11">
        <v>1</v>
      </c>
      <c r="E511" s="11" t="s">
        <v>4</v>
      </c>
      <c r="F511" s="12">
        <v>20600</v>
      </c>
      <c r="G511" s="12">
        <v>20600</v>
      </c>
      <c r="H511" s="11" t="str">
        <f t="shared" si="20"/>
        <v>平成4年12月5日</v>
      </c>
      <c r="I511" s="22">
        <f t="shared" si="19"/>
        <v>33943</v>
      </c>
      <c r="J511" s="1" t="str">
        <f>"00739729"</f>
        <v>00739729</v>
      </c>
      <c r="K511" s="1" t="str">
        <f>"３５５　　　　　　　　　　　　　　　　　"</f>
        <v>３５５　　　　　　　　　　　　　　　　　</v>
      </c>
      <c r="L511" s="1"/>
    </row>
    <row r="512" spans="1:12" ht="18" customHeight="1" x14ac:dyDescent="0.15">
      <c r="A512" s="11">
        <v>1669</v>
      </c>
      <c r="B512" s="11" t="s">
        <v>53</v>
      </c>
      <c r="C512" s="11" t="s">
        <v>156</v>
      </c>
      <c r="D512" s="11">
        <v>1</v>
      </c>
      <c r="E512" s="11" t="s">
        <v>4</v>
      </c>
      <c r="F512" s="12">
        <v>20600</v>
      </c>
      <c r="G512" s="12">
        <v>20600</v>
      </c>
      <c r="H512" s="11" t="str">
        <f t="shared" si="20"/>
        <v>平成4年12月5日</v>
      </c>
      <c r="I512" s="22">
        <f t="shared" si="19"/>
        <v>33943</v>
      </c>
      <c r="J512" s="1" t="str">
        <f>"00739731"</f>
        <v>00739731</v>
      </c>
      <c r="K512" s="1" t="str">
        <f>"３５６　　　　　　　　　　　　　　　　　"</f>
        <v>３５６　　　　　　　　　　　　　　　　　</v>
      </c>
      <c r="L512" s="1"/>
    </row>
    <row r="513" spans="1:12" ht="18" customHeight="1" x14ac:dyDescent="0.15">
      <c r="A513" s="11">
        <v>1670</v>
      </c>
      <c r="B513" s="11" t="s">
        <v>53</v>
      </c>
      <c r="C513" s="11" t="s">
        <v>156</v>
      </c>
      <c r="D513" s="11">
        <v>1</v>
      </c>
      <c r="E513" s="11" t="s">
        <v>4</v>
      </c>
      <c r="F513" s="12">
        <v>20600</v>
      </c>
      <c r="G513" s="12">
        <v>20600</v>
      </c>
      <c r="H513" s="11" t="str">
        <f t="shared" si="20"/>
        <v>平成4年12月5日</v>
      </c>
      <c r="I513" s="22">
        <f t="shared" si="19"/>
        <v>33943</v>
      </c>
      <c r="J513" s="1" t="str">
        <f>"00739733"</f>
        <v>00739733</v>
      </c>
      <c r="K513" s="1" t="str">
        <f>"３５７　　　　　　　　　　　　　　　　　"</f>
        <v>３５７　　　　　　　　　　　　　　　　　</v>
      </c>
      <c r="L513" s="1"/>
    </row>
    <row r="514" spans="1:12" ht="18" customHeight="1" x14ac:dyDescent="0.15">
      <c r="A514" s="11">
        <v>1671</v>
      </c>
      <c r="B514" s="11" t="s">
        <v>53</v>
      </c>
      <c r="C514" s="11" t="s">
        <v>156</v>
      </c>
      <c r="D514" s="11">
        <v>1</v>
      </c>
      <c r="E514" s="11" t="s">
        <v>4</v>
      </c>
      <c r="F514" s="12">
        <v>20600</v>
      </c>
      <c r="G514" s="12">
        <v>20600</v>
      </c>
      <c r="H514" s="11" t="str">
        <f t="shared" si="20"/>
        <v>平成4年12月5日</v>
      </c>
      <c r="I514" s="22">
        <f t="shared" si="19"/>
        <v>33943</v>
      </c>
      <c r="J514" s="1" t="str">
        <f>"00739735"</f>
        <v>00739735</v>
      </c>
      <c r="K514" s="1" t="str">
        <f>"３５９　　　　　　　　　　　　　　　　　"</f>
        <v>３５９　　　　　　　　　　　　　　　　　</v>
      </c>
      <c r="L514" s="1"/>
    </row>
    <row r="515" spans="1:12" ht="18" customHeight="1" x14ac:dyDescent="0.15">
      <c r="A515" s="11">
        <v>1672</v>
      </c>
      <c r="B515" s="11" t="s">
        <v>53</v>
      </c>
      <c r="C515" s="11" t="s">
        <v>156</v>
      </c>
      <c r="D515" s="11">
        <v>1</v>
      </c>
      <c r="E515" s="11" t="s">
        <v>4</v>
      </c>
      <c r="F515" s="12">
        <v>20600</v>
      </c>
      <c r="G515" s="12">
        <v>20600</v>
      </c>
      <c r="H515" s="11" t="str">
        <f t="shared" si="20"/>
        <v>平成4年12月5日</v>
      </c>
      <c r="I515" s="22">
        <f t="shared" si="19"/>
        <v>33943</v>
      </c>
      <c r="J515" s="1" t="str">
        <f>"00739737"</f>
        <v>00739737</v>
      </c>
      <c r="K515" s="1" t="str">
        <f>"３６０　　　　　　　　　　　　　　　　　"</f>
        <v>３６０　　　　　　　　　　　　　　　　　</v>
      </c>
      <c r="L515" s="1"/>
    </row>
    <row r="516" spans="1:12" ht="18" customHeight="1" x14ac:dyDescent="0.15">
      <c r="A516" s="11">
        <v>1673</v>
      </c>
      <c r="B516" s="11" t="s">
        <v>53</v>
      </c>
      <c r="C516" s="11" t="s">
        <v>156</v>
      </c>
      <c r="D516" s="11">
        <v>1</v>
      </c>
      <c r="E516" s="11" t="s">
        <v>4</v>
      </c>
      <c r="F516" s="12">
        <v>20600</v>
      </c>
      <c r="G516" s="12">
        <v>20600</v>
      </c>
      <c r="H516" s="11" t="str">
        <f t="shared" si="20"/>
        <v>平成4年12月5日</v>
      </c>
      <c r="I516" s="22">
        <f t="shared" si="19"/>
        <v>33943</v>
      </c>
      <c r="J516" s="1" t="str">
        <f>"00739739"</f>
        <v>00739739</v>
      </c>
      <c r="K516" s="1" t="str">
        <f>"３６１　　　　　　　　　　　　　　　　　"</f>
        <v>３６１　　　　　　　　　　　　　　　　　</v>
      </c>
      <c r="L516" s="1"/>
    </row>
    <row r="517" spans="1:12" ht="18" customHeight="1" x14ac:dyDescent="0.15">
      <c r="A517" s="11">
        <v>1674</v>
      </c>
      <c r="B517" s="11" t="s">
        <v>53</v>
      </c>
      <c r="C517" s="11" t="s">
        <v>156</v>
      </c>
      <c r="D517" s="11">
        <v>1</v>
      </c>
      <c r="E517" s="11" t="s">
        <v>4</v>
      </c>
      <c r="F517" s="12">
        <v>20600</v>
      </c>
      <c r="G517" s="12">
        <v>20600</v>
      </c>
      <c r="H517" s="11" t="str">
        <f t="shared" si="20"/>
        <v>平成4年12月5日</v>
      </c>
      <c r="I517" s="22">
        <f t="shared" si="19"/>
        <v>33943</v>
      </c>
      <c r="J517" s="1" t="str">
        <f>"00739741"</f>
        <v>00739741</v>
      </c>
      <c r="K517" s="1" t="str">
        <f>"３６２　　　　　　　　　　　　　　　　　"</f>
        <v>３６２　　　　　　　　　　　　　　　　　</v>
      </c>
      <c r="L517" s="1"/>
    </row>
    <row r="518" spans="1:12" ht="18" customHeight="1" x14ac:dyDescent="0.15">
      <c r="A518" s="11">
        <v>1675</v>
      </c>
      <c r="B518" s="11" t="s">
        <v>53</v>
      </c>
      <c r="C518" s="11" t="s">
        <v>156</v>
      </c>
      <c r="D518" s="11">
        <v>1</v>
      </c>
      <c r="E518" s="11" t="s">
        <v>4</v>
      </c>
      <c r="F518" s="12">
        <v>20600</v>
      </c>
      <c r="G518" s="12">
        <v>20600</v>
      </c>
      <c r="H518" s="11" t="str">
        <f t="shared" si="20"/>
        <v>平成4年12月5日</v>
      </c>
      <c r="I518" s="22">
        <f t="shared" si="19"/>
        <v>33943</v>
      </c>
      <c r="J518" s="1" t="str">
        <f>"00739742"</f>
        <v>00739742</v>
      </c>
      <c r="K518" s="1" t="str">
        <f>"３６３　　　　　　　　　　　　　　　　　"</f>
        <v>３６３　　　　　　　　　　　　　　　　　</v>
      </c>
      <c r="L518" s="1"/>
    </row>
    <row r="519" spans="1:12" ht="18" customHeight="1" x14ac:dyDescent="0.15">
      <c r="A519" s="11">
        <v>1676</v>
      </c>
      <c r="B519" s="11" t="s">
        <v>53</v>
      </c>
      <c r="C519" s="11" t="s">
        <v>156</v>
      </c>
      <c r="D519" s="11">
        <v>1</v>
      </c>
      <c r="E519" s="11" t="s">
        <v>4</v>
      </c>
      <c r="F519" s="12">
        <v>20600</v>
      </c>
      <c r="G519" s="12">
        <v>20600</v>
      </c>
      <c r="H519" s="11" t="str">
        <f t="shared" si="20"/>
        <v>平成4年12月5日</v>
      </c>
      <c r="I519" s="22">
        <f t="shared" si="19"/>
        <v>33943</v>
      </c>
      <c r="J519" s="1" t="str">
        <f>"00739744"</f>
        <v>00739744</v>
      </c>
      <c r="K519" s="1" t="str">
        <f>"３６５　　　　　　　　　　　　　　　　　"</f>
        <v>３６５　　　　　　　　　　　　　　　　　</v>
      </c>
      <c r="L519" s="1"/>
    </row>
    <row r="520" spans="1:12" ht="18" customHeight="1" x14ac:dyDescent="0.15">
      <c r="A520" s="11">
        <v>1677</v>
      </c>
      <c r="B520" s="11" t="s">
        <v>53</v>
      </c>
      <c r="C520" s="11" t="s">
        <v>156</v>
      </c>
      <c r="D520" s="11">
        <v>1</v>
      </c>
      <c r="E520" s="11" t="s">
        <v>4</v>
      </c>
      <c r="F520" s="12">
        <v>20600</v>
      </c>
      <c r="G520" s="12">
        <v>20600</v>
      </c>
      <c r="H520" s="11" t="str">
        <f t="shared" si="20"/>
        <v>平成4年12月5日</v>
      </c>
      <c r="I520" s="22">
        <f t="shared" si="19"/>
        <v>33943</v>
      </c>
      <c r="J520" s="1" t="str">
        <f>"00739746"</f>
        <v>00739746</v>
      </c>
      <c r="K520" s="1" t="str">
        <f>"３６６　　　　　　　　　　　　　　　　　"</f>
        <v>３６６　　　　　　　　　　　　　　　　　</v>
      </c>
      <c r="L520" s="1"/>
    </row>
    <row r="521" spans="1:12" ht="18" customHeight="1" x14ac:dyDescent="0.15">
      <c r="A521" s="11">
        <v>1678</v>
      </c>
      <c r="B521" s="11" t="s">
        <v>53</v>
      </c>
      <c r="C521" s="11" t="s">
        <v>156</v>
      </c>
      <c r="D521" s="11">
        <v>1</v>
      </c>
      <c r="E521" s="11" t="s">
        <v>4</v>
      </c>
      <c r="F521" s="12">
        <v>20600</v>
      </c>
      <c r="G521" s="12">
        <v>20600</v>
      </c>
      <c r="H521" s="11" t="str">
        <f t="shared" si="20"/>
        <v>平成4年12月5日</v>
      </c>
      <c r="I521" s="22">
        <f t="shared" si="19"/>
        <v>33943</v>
      </c>
      <c r="J521" s="1" t="str">
        <f>"00739748"</f>
        <v>00739748</v>
      </c>
      <c r="K521" s="1" t="str">
        <f>"３６７　　　　　　　　　　　　　　　　　"</f>
        <v>３６７　　　　　　　　　　　　　　　　　</v>
      </c>
      <c r="L521" s="1"/>
    </row>
    <row r="522" spans="1:12" ht="18" customHeight="1" x14ac:dyDescent="0.15">
      <c r="A522" s="11">
        <v>1679</v>
      </c>
      <c r="B522" s="11" t="s">
        <v>53</v>
      </c>
      <c r="C522" s="11" t="s">
        <v>156</v>
      </c>
      <c r="D522" s="11">
        <v>1</v>
      </c>
      <c r="E522" s="11" t="s">
        <v>4</v>
      </c>
      <c r="F522" s="12">
        <v>20600</v>
      </c>
      <c r="G522" s="12">
        <v>20600</v>
      </c>
      <c r="H522" s="11" t="str">
        <f t="shared" si="20"/>
        <v>平成4年12月5日</v>
      </c>
      <c r="I522" s="22">
        <f t="shared" si="19"/>
        <v>33943</v>
      </c>
      <c r="J522" s="1" t="str">
        <f>"00739750"</f>
        <v>00739750</v>
      </c>
      <c r="K522" s="1" t="str">
        <f>"３６８　　　　　　　　　　　　　　　　　"</f>
        <v>３６８　　　　　　　　　　　　　　　　　</v>
      </c>
      <c r="L522" s="1"/>
    </row>
    <row r="523" spans="1:12" ht="18" customHeight="1" x14ac:dyDescent="0.15">
      <c r="A523" s="11">
        <v>1680</v>
      </c>
      <c r="B523" s="11" t="s">
        <v>53</v>
      </c>
      <c r="C523" s="11" t="s">
        <v>156</v>
      </c>
      <c r="D523" s="11">
        <v>1</v>
      </c>
      <c r="E523" s="11" t="s">
        <v>4</v>
      </c>
      <c r="F523" s="12">
        <v>20600</v>
      </c>
      <c r="G523" s="12">
        <v>20600</v>
      </c>
      <c r="H523" s="11" t="str">
        <f t="shared" si="20"/>
        <v>平成4年12月5日</v>
      </c>
      <c r="I523" s="22">
        <f t="shared" si="19"/>
        <v>33943</v>
      </c>
      <c r="J523" s="1" t="str">
        <f>"00739752"</f>
        <v>00739752</v>
      </c>
      <c r="K523" s="1" t="str">
        <f>"３６９　　　　　　　　　　　　　　　　　"</f>
        <v>３６９　　　　　　　　　　　　　　　　　</v>
      </c>
      <c r="L523" s="1"/>
    </row>
    <row r="524" spans="1:12" ht="18" customHeight="1" x14ac:dyDescent="0.15">
      <c r="A524" s="11">
        <v>1681</v>
      </c>
      <c r="B524" s="11" t="s">
        <v>53</v>
      </c>
      <c r="C524" s="11" t="s">
        <v>156</v>
      </c>
      <c r="D524" s="11">
        <v>1</v>
      </c>
      <c r="E524" s="11" t="s">
        <v>4</v>
      </c>
      <c r="F524" s="12">
        <v>20600</v>
      </c>
      <c r="G524" s="12">
        <v>20600</v>
      </c>
      <c r="H524" s="11" t="str">
        <f t="shared" si="20"/>
        <v>平成4年12月5日</v>
      </c>
      <c r="I524" s="22">
        <f t="shared" si="19"/>
        <v>33943</v>
      </c>
      <c r="J524" s="1" t="str">
        <f>"00739754"</f>
        <v>00739754</v>
      </c>
      <c r="K524" s="1" t="str">
        <f>"３７０　　　　　　　　　　　　　　　　　"</f>
        <v>３７０　　　　　　　　　　　　　　　　　</v>
      </c>
      <c r="L524" s="1"/>
    </row>
    <row r="525" spans="1:12" ht="18" customHeight="1" x14ac:dyDescent="0.15">
      <c r="A525" s="11">
        <v>1682</v>
      </c>
      <c r="B525" s="11" t="s">
        <v>53</v>
      </c>
      <c r="C525" s="11" t="s">
        <v>156</v>
      </c>
      <c r="D525" s="11">
        <v>1</v>
      </c>
      <c r="E525" s="11" t="s">
        <v>4</v>
      </c>
      <c r="F525" s="12">
        <v>20600</v>
      </c>
      <c r="G525" s="12">
        <v>20600</v>
      </c>
      <c r="H525" s="11" t="str">
        <f t="shared" si="20"/>
        <v>平成4年12月5日</v>
      </c>
      <c r="I525" s="22">
        <f t="shared" si="19"/>
        <v>33943</v>
      </c>
      <c r="J525" s="1" t="str">
        <f>"00739756"</f>
        <v>00739756</v>
      </c>
      <c r="K525" s="1" t="str">
        <f>"３７１　　　　　　　　　　　　　　　　　"</f>
        <v>３７１　　　　　　　　　　　　　　　　　</v>
      </c>
      <c r="L525" s="1"/>
    </row>
    <row r="526" spans="1:12" ht="18" customHeight="1" x14ac:dyDescent="0.15">
      <c r="A526" s="11">
        <v>1683</v>
      </c>
      <c r="B526" s="11" t="s">
        <v>53</v>
      </c>
      <c r="C526" s="11" t="s">
        <v>156</v>
      </c>
      <c r="D526" s="11">
        <v>1</v>
      </c>
      <c r="E526" s="11" t="s">
        <v>4</v>
      </c>
      <c r="F526" s="12">
        <v>20600</v>
      </c>
      <c r="G526" s="12">
        <v>20600</v>
      </c>
      <c r="H526" s="11" t="str">
        <f t="shared" si="20"/>
        <v>平成4年12月5日</v>
      </c>
      <c r="I526" s="22">
        <f t="shared" si="19"/>
        <v>33943</v>
      </c>
      <c r="J526" s="1" t="str">
        <f>"00739758"</f>
        <v>00739758</v>
      </c>
      <c r="K526" s="1" t="str">
        <f>"３７２　　　　　　　　　　　　　　　　　"</f>
        <v>３７２　　　　　　　　　　　　　　　　　</v>
      </c>
      <c r="L526" s="1"/>
    </row>
    <row r="527" spans="1:12" ht="18" customHeight="1" x14ac:dyDescent="0.15">
      <c r="A527" s="11">
        <v>1684</v>
      </c>
      <c r="B527" s="11" t="s">
        <v>53</v>
      </c>
      <c r="C527" s="11" t="s">
        <v>156</v>
      </c>
      <c r="D527" s="11">
        <v>1</v>
      </c>
      <c r="E527" s="11" t="s">
        <v>4</v>
      </c>
      <c r="F527" s="12">
        <v>20600</v>
      </c>
      <c r="G527" s="12">
        <v>20600</v>
      </c>
      <c r="H527" s="11" t="str">
        <f t="shared" si="20"/>
        <v>平成4年12月5日</v>
      </c>
      <c r="I527" s="22">
        <f t="shared" si="19"/>
        <v>33943</v>
      </c>
      <c r="J527" s="1" t="str">
        <f>"00739760"</f>
        <v>00739760</v>
      </c>
      <c r="K527" s="1" t="str">
        <f>"３７４　　　　　　　　　　　　　　　　　"</f>
        <v>３７４　　　　　　　　　　　　　　　　　</v>
      </c>
      <c r="L527" s="1"/>
    </row>
    <row r="528" spans="1:12" ht="18" customHeight="1" x14ac:dyDescent="0.15">
      <c r="A528" s="11">
        <v>1685</v>
      </c>
      <c r="B528" s="11" t="s">
        <v>53</v>
      </c>
      <c r="C528" s="11" t="s">
        <v>156</v>
      </c>
      <c r="D528" s="11">
        <v>1</v>
      </c>
      <c r="E528" s="11" t="s">
        <v>4</v>
      </c>
      <c r="F528" s="12">
        <v>20600</v>
      </c>
      <c r="G528" s="12">
        <v>20600</v>
      </c>
      <c r="H528" s="11" t="str">
        <f t="shared" si="20"/>
        <v>平成4年12月5日</v>
      </c>
      <c r="I528" s="22">
        <f t="shared" si="19"/>
        <v>33943</v>
      </c>
      <c r="J528" s="1" t="str">
        <f>"00739762"</f>
        <v>00739762</v>
      </c>
      <c r="K528" s="1" t="str">
        <f>"３７５　　　　　　　　　　　　　　　　　"</f>
        <v>３７５　　　　　　　　　　　　　　　　　</v>
      </c>
      <c r="L528" s="1"/>
    </row>
    <row r="529" spans="1:12" ht="18" customHeight="1" x14ac:dyDescent="0.15">
      <c r="A529" s="11">
        <v>1686</v>
      </c>
      <c r="B529" s="11" t="s">
        <v>53</v>
      </c>
      <c r="C529" s="11" t="s">
        <v>156</v>
      </c>
      <c r="D529" s="11">
        <v>1</v>
      </c>
      <c r="E529" s="11" t="s">
        <v>4</v>
      </c>
      <c r="F529" s="12">
        <v>20600</v>
      </c>
      <c r="G529" s="12">
        <v>20600</v>
      </c>
      <c r="H529" s="11" t="str">
        <f t="shared" si="20"/>
        <v>平成4年12月5日</v>
      </c>
      <c r="I529" s="22">
        <f t="shared" si="19"/>
        <v>33943</v>
      </c>
      <c r="J529" s="1" t="str">
        <f>"00739764"</f>
        <v>00739764</v>
      </c>
      <c r="K529" s="1" t="str">
        <f>"３７６　　　　　　　　　　　　　　　　　"</f>
        <v>３７６　　　　　　　　　　　　　　　　　</v>
      </c>
      <c r="L529" s="1"/>
    </row>
    <row r="530" spans="1:12" ht="18" customHeight="1" x14ac:dyDescent="0.15">
      <c r="A530" s="11">
        <v>1687</v>
      </c>
      <c r="B530" s="11" t="s">
        <v>53</v>
      </c>
      <c r="C530" s="11" t="s">
        <v>156</v>
      </c>
      <c r="D530" s="11">
        <v>1</v>
      </c>
      <c r="E530" s="11" t="s">
        <v>4</v>
      </c>
      <c r="F530" s="12">
        <v>20600</v>
      </c>
      <c r="G530" s="12">
        <v>20600</v>
      </c>
      <c r="H530" s="11" t="str">
        <f t="shared" si="20"/>
        <v>平成4年12月5日</v>
      </c>
      <c r="I530" s="22">
        <f t="shared" ref="I530:I593" si="21">DATEVALUE(H530)</f>
        <v>33943</v>
      </c>
      <c r="J530" s="1" t="str">
        <f>"00739766"</f>
        <v>00739766</v>
      </c>
      <c r="K530" s="1" t="str">
        <f>"３７７　　　　　　　　　　　　　　　　　"</f>
        <v>３７７　　　　　　　　　　　　　　　　　</v>
      </c>
      <c r="L530" s="1"/>
    </row>
    <row r="531" spans="1:12" ht="18" customHeight="1" x14ac:dyDescent="0.15">
      <c r="A531" s="11">
        <v>1688</v>
      </c>
      <c r="B531" s="11" t="s">
        <v>53</v>
      </c>
      <c r="C531" s="11" t="s">
        <v>156</v>
      </c>
      <c r="D531" s="11">
        <v>1</v>
      </c>
      <c r="E531" s="11" t="s">
        <v>4</v>
      </c>
      <c r="F531" s="12">
        <v>20600</v>
      </c>
      <c r="G531" s="12">
        <v>20600</v>
      </c>
      <c r="H531" s="11" t="str">
        <f t="shared" si="20"/>
        <v>平成4年12月5日</v>
      </c>
      <c r="I531" s="22">
        <f t="shared" si="21"/>
        <v>33943</v>
      </c>
      <c r="J531" s="1" t="str">
        <f>"00739768"</f>
        <v>00739768</v>
      </c>
      <c r="K531" s="1" t="str">
        <f>"３７８　　　　　　　　　　　　　　　　　"</f>
        <v>３７８　　　　　　　　　　　　　　　　　</v>
      </c>
      <c r="L531" s="1"/>
    </row>
    <row r="532" spans="1:12" ht="18" customHeight="1" x14ac:dyDescent="0.15">
      <c r="A532" s="11">
        <v>1689</v>
      </c>
      <c r="B532" s="11" t="s">
        <v>53</v>
      </c>
      <c r="C532" s="11" t="s">
        <v>156</v>
      </c>
      <c r="D532" s="11">
        <v>1</v>
      </c>
      <c r="E532" s="11" t="s">
        <v>4</v>
      </c>
      <c r="F532" s="12">
        <v>20600</v>
      </c>
      <c r="G532" s="12">
        <v>20600</v>
      </c>
      <c r="H532" s="11" t="str">
        <f t="shared" si="20"/>
        <v>平成4年12月5日</v>
      </c>
      <c r="I532" s="22">
        <f t="shared" si="21"/>
        <v>33943</v>
      </c>
      <c r="J532" s="1" t="str">
        <f>"00739770"</f>
        <v>00739770</v>
      </c>
      <c r="K532" s="1" t="str">
        <f>"３８０　　　　　　　　　　　　　　　　　"</f>
        <v>３８０　　　　　　　　　　　　　　　　　</v>
      </c>
      <c r="L532" s="1"/>
    </row>
    <row r="533" spans="1:12" ht="18" customHeight="1" x14ac:dyDescent="0.15">
      <c r="A533" s="11">
        <v>1690</v>
      </c>
      <c r="B533" s="11" t="s">
        <v>53</v>
      </c>
      <c r="C533" s="11" t="s">
        <v>156</v>
      </c>
      <c r="D533" s="11">
        <v>1</v>
      </c>
      <c r="E533" s="11" t="s">
        <v>4</v>
      </c>
      <c r="F533" s="12">
        <v>20600</v>
      </c>
      <c r="G533" s="12">
        <v>20600</v>
      </c>
      <c r="H533" s="11" t="str">
        <f t="shared" si="20"/>
        <v>平成4年12月5日</v>
      </c>
      <c r="I533" s="22">
        <f t="shared" si="21"/>
        <v>33943</v>
      </c>
      <c r="J533" s="1" t="str">
        <f>"00739772"</f>
        <v>00739772</v>
      </c>
      <c r="K533" s="1" t="str">
        <f>"３８１　　　　　　　　　　　　　　　　　"</f>
        <v>３８１　　　　　　　　　　　　　　　　　</v>
      </c>
      <c r="L533" s="1"/>
    </row>
    <row r="534" spans="1:12" ht="18" customHeight="1" x14ac:dyDescent="0.15">
      <c r="A534" s="11">
        <v>1691</v>
      </c>
      <c r="B534" s="11" t="s">
        <v>53</v>
      </c>
      <c r="C534" s="11" t="s">
        <v>156</v>
      </c>
      <c r="D534" s="11">
        <v>1</v>
      </c>
      <c r="E534" s="11" t="s">
        <v>4</v>
      </c>
      <c r="F534" s="12">
        <v>20600</v>
      </c>
      <c r="G534" s="12">
        <v>20600</v>
      </c>
      <c r="H534" s="11" t="str">
        <f t="shared" si="20"/>
        <v>平成4年12月5日</v>
      </c>
      <c r="I534" s="22">
        <f t="shared" si="21"/>
        <v>33943</v>
      </c>
      <c r="J534" s="1" t="str">
        <f>"00739774"</f>
        <v>00739774</v>
      </c>
      <c r="K534" s="1" t="str">
        <f>"３８２　　　　　　　　　　　　　　　　　"</f>
        <v>３８２　　　　　　　　　　　　　　　　　</v>
      </c>
      <c r="L534" s="1"/>
    </row>
    <row r="535" spans="1:12" ht="18" customHeight="1" x14ac:dyDescent="0.15">
      <c r="A535" s="11">
        <v>1692</v>
      </c>
      <c r="B535" s="11" t="s">
        <v>53</v>
      </c>
      <c r="C535" s="11" t="s">
        <v>156</v>
      </c>
      <c r="D535" s="11">
        <v>1</v>
      </c>
      <c r="E535" s="11" t="s">
        <v>4</v>
      </c>
      <c r="F535" s="12">
        <v>20600</v>
      </c>
      <c r="G535" s="12">
        <v>20600</v>
      </c>
      <c r="H535" s="11" t="str">
        <f t="shared" si="20"/>
        <v>平成4年12月5日</v>
      </c>
      <c r="I535" s="22">
        <f t="shared" si="21"/>
        <v>33943</v>
      </c>
      <c r="J535" s="1" t="str">
        <f>"00739776"</f>
        <v>00739776</v>
      </c>
      <c r="K535" s="1" t="str">
        <f>"３８３　　　　　　　　　　　　　　　　　"</f>
        <v>３８３　　　　　　　　　　　　　　　　　</v>
      </c>
      <c r="L535" s="1"/>
    </row>
    <row r="536" spans="1:12" ht="18" customHeight="1" x14ac:dyDescent="0.15">
      <c r="A536" s="11">
        <v>1693</v>
      </c>
      <c r="B536" s="11" t="s">
        <v>53</v>
      </c>
      <c r="C536" s="11" t="s">
        <v>156</v>
      </c>
      <c r="D536" s="11">
        <v>1</v>
      </c>
      <c r="E536" s="11" t="s">
        <v>4</v>
      </c>
      <c r="F536" s="12">
        <v>20600</v>
      </c>
      <c r="G536" s="12">
        <v>20600</v>
      </c>
      <c r="H536" s="11" t="str">
        <f t="shared" si="20"/>
        <v>平成4年12月5日</v>
      </c>
      <c r="I536" s="22">
        <f t="shared" si="21"/>
        <v>33943</v>
      </c>
      <c r="J536" s="1" t="str">
        <f>"00739778"</f>
        <v>00739778</v>
      </c>
      <c r="K536" s="1" t="str">
        <f>"３８４　　　　　　　　　　　　　　　　　"</f>
        <v>３８４　　　　　　　　　　　　　　　　　</v>
      </c>
      <c r="L536" s="1"/>
    </row>
    <row r="537" spans="1:12" ht="18" customHeight="1" x14ac:dyDescent="0.15">
      <c r="A537" s="11">
        <v>1694</v>
      </c>
      <c r="B537" s="11" t="s">
        <v>53</v>
      </c>
      <c r="C537" s="11" t="s">
        <v>156</v>
      </c>
      <c r="D537" s="11">
        <v>1</v>
      </c>
      <c r="E537" s="11" t="s">
        <v>4</v>
      </c>
      <c r="F537" s="12">
        <v>20600</v>
      </c>
      <c r="G537" s="12">
        <v>20600</v>
      </c>
      <c r="H537" s="11" t="str">
        <f t="shared" si="20"/>
        <v>平成4年12月5日</v>
      </c>
      <c r="I537" s="22">
        <f t="shared" si="21"/>
        <v>33943</v>
      </c>
      <c r="J537" s="1" t="str">
        <f>"00739780"</f>
        <v>00739780</v>
      </c>
      <c r="K537" s="1" t="str">
        <f>"３８５　　　　　　　　　　　　　　　　　"</f>
        <v>３８５　　　　　　　　　　　　　　　　　</v>
      </c>
      <c r="L537" s="1"/>
    </row>
    <row r="538" spans="1:12" ht="18" customHeight="1" x14ac:dyDescent="0.15">
      <c r="A538" s="11">
        <v>1695</v>
      </c>
      <c r="B538" s="11" t="s">
        <v>53</v>
      </c>
      <c r="C538" s="11" t="s">
        <v>156</v>
      </c>
      <c r="D538" s="11">
        <v>1</v>
      </c>
      <c r="E538" s="11" t="s">
        <v>4</v>
      </c>
      <c r="F538" s="12">
        <v>20600</v>
      </c>
      <c r="G538" s="12">
        <v>20600</v>
      </c>
      <c r="H538" s="11" t="str">
        <f t="shared" si="20"/>
        <v>平成4年12月5日</v>
      </c>
      <c r="I538" s="22">
        <f t="shared" si="21"/>
        <v>33943</v>
      </c>
      <c r="J538" s="1" t="str">
        <f>"00739782"</f>
        <v>00739782</v>
      </c>
      <c r="K538" s="1" t="str">
        <f>"３８６　　　　　　　　　　　　　　　　　"</f>
        <v>３８６　　　　　　　　　　　　　　　　　</v>
      </c>
      <c r="L538" s="1"/>
    </row>
    <row r="539" spans="1:12" ht="18" customHeight="1" x14ac:dyDescent="0.15">
      <c r="A539" s="11">
        <v>1696</v>
      </c>
      <c r="B539" s="11" t="s">
        <v>53</v>
      </c>
      <c r="C539" s="11" t="s">
        <v>156</v>
      </c>
      <c r="D539" s="11">
        <v>1</v>
      </c>
      <c r="E539" s="11" t="s">
        <v>4</v>
      </c>
      <c r="F539" s="12">
        <v>20600</v>
      </c>
      <c r="G539" s="12">
        <v>20600</v>
      </c>
      <c r="H539" s="11" t="str">
        <f t="shared" si="20"/>
        <v>平成4年12月5日</v>
      </c>
      <c r="I539" s="22">
        <f t="shared" si="21"/>
        <v>33943</v>
      </c>
      <c r="J539" s="1" t="str">
        <f>"00739784"</f>
        <v>00739784</v>
      </c>
      <c r="K539" s="1" t="str">
        <f>"３８７　　　　　　　　　　　　　　　　　"</f>
        <v>３８７　　　　　　　　　　　　　　　　　</v>
      </c>
      <c r="L539" s="1"/>
    </row>
    <row r="540" spans="1:12" ht="18" customHeight="1" x14ac:dyDescent="0.15">
      <c r="A540" s="11">
        <v>1697</v>
      </c>
      <c r="B540" s="11" t="s">
        <v>53</v>
      </c>
      <c r="C540" s="11" t="s">
        <v>156</v>
      </c>
      <c r="D540" s="11">
        <v>1</v>
      </c>
      <c r="E540" s="11" t="s">
        <v>4</v>
      </c>
      <c r="F540" s="12">
        <v>20600</v>
      </c>
      <c r="G540" s="12">
        <v>20600</v>
      </c>
      <c r="H540" s="11" t="str">
        <f t="shared" si="20"/>
        <v>平成4年12月5日</v>
      </c>
      <c r="I540" s="22">
        <f t="shared" si="21"/>
        <v>33943</v>
      </c>
      <c r="J540" s="1" t="str">
        <f>"00739786"</f>
        <v>00739786</v>
      </c>
      <c r="K540" s="1" t="str">
        <f>"３８８　　　　　　　　　　　　　　　　　"</f>
        <v>３８８　　　　　　　　　　　　　　　　　</v>
      </c>
      <c r="L540" s="1"/>
    </row>
    <row r="541" spans="1:12" ht="18" customHeight="1" x14ac:dyDescent="0.15">
      <c r="A541" s="11">
        <v>1698</v>
      </c>
      <c r="B541" s="11" t="s">
        <v>53</v>
      </c>
      <c r="C541" s="11" t="s">
        <v>156</v>
      </c>
      <c r="D541" s="11">
        <v>1</v>
      </c>
      <c r="E541" s="11" t="s">
        <v>4</v>
      </c>
      <c r="F541" s="12">
        <v>20600</v>
      </c>
      <c r="G541" s="12">
        <v>20600</v>
      </c>
      <c r="H541" s="11" t="str">
        <f t="shared" si="20"/>
        <v>平成4年12月5日</v>
      </c>
      <c r="I541" s="22">
        <f t="shared" si="21"/>
        <v>33943</v>
      </c>
      <c r="J541" s="1" t="str">
        <f>"00739788"</f>
        <v>00739788</v>
      </c>
      <c r="K541" s="1" t="str">
        <f>"３８９　　　　　　　　　　　　　　　　　"</f>
        <v>３８９　　　　　　　　　　　　　　　　　</v>
      </c>
      <c r="L541" s="1"/>
    </row>
    <row r="542" spans="1:12" ht="18" customHeight="1" x14ac:dyDescent="0.15">
      <c r="A542" s="11">
        <v>1699</v>
      </c>
      <c r="B542" s="11" t="s">
        <v>53</v>
      </c>
      <c r="C542" s="11" t="s">
        <v>156</v>
      </c>
      <c r="D542" s="11">
        <v>1</v>
      </c>
      <c r="E542" s="11" t="s">
        <v>4</v>
      </c>
      <c r="F542" s="12">
        <v>20600</v>
      </c>
      <c r="G542" s="12">
        <v>20600</v>
      </c>
      <c r="H542" s="11" t="str">
        <f t="shared" si="20"/>
        <v>平成4年12月5日</v>
      </c>
      <c r="I542" s="22">
        <f t="shared" si="21"/>
        <v>33943</v>
      </c>
      <c r="J542" s="1" t="str">
        <f>"00739791"</f>
        <v>00739791</v>
      </c>
      <c r="K542" s="1" t="str">
        <f>"３９０　　　　　　　　　　　　　　　　　"</f>
        <v>３９０　　　　　　　　　　　　　　　　　</v>
      </c>
      <c r="L542" s="1"/>
    </row>
    <row r="543" spans="1:12" ht="18" customHeight="1" x14ac:dyDescent="0.15">
      <c r="A543" s="11">
        <v>1700</v>
      </c>
      <c r="B543" s="11" t="s">
        <v>53</v>
      </c>
      <c r="C543" s="11" t="s">
        <v>156</v>
      </c>
      <c r="D543" s="11">
        <v>1</v>
      </c>
      <c r="E543" s="11" t="s">
        <v>4</v>
      </c>
      <c r="F543" s="12">
        <v>20600</v>
      </c>
      <c r="G543" s="12">
        <v>20600</v>
      </c>
      <c r="H543" s="11" t="str">
        <f t="shared" si="20"/>
        <v>平成4年12月5日</v>
      </c>
      <c r="I543" s="22">
        <f t="shared" si="21"/>
        <v>33943</v>
      </c>
      <c r="J543" s="1" t="str">
        <f>"00739793"</f>
        <v>00739793</v>
      </c>
      <c r="K543" s="1" t="str">
        <f>"３９１　　　　　　　　　　　　　　　　　"</f>
        <v>３９１　　　　　　　　　　　　　　　　　</v>
      </c>
      <c r="L543" s="1"/>
    </row>
    <row r="544" spans="1:12" ht="18" customHeight="1" x14ac:dyDescent="0.15">
      <c r="A544" s="11">
        <v>1701</v>
      </c>
      <c r="B544" s="11" t="s">
        <v>53</v>
      </c>
      <c r="C544" s="11" t="s">
        <v>156</v>
      </c>
      <c r="D544" s="11">
        <v>1</v>
      </c>
      <c r="E544" s="11" t="s">
        <v>4</v>
      </c>
      <c r="F544" s="12">
        <v>20600</v>
      </c>
      <c r="G544" s="12">
        <v>20600</v>
      </c>
      <c r="H544" s="11" t="str">
        <f t="shared" si="20"/>
        <v>平成4年12月5日</v>
      </c>
      <c r="I544" s="22">
        <f t="shared" si="21"/>
        <v>33943</v>
      </c>
      <c r="J544" s="1" t="str">
        <f>"00739795"</f>
        <v>00739795</v>
      </c>
      <c r="K544" s="1" t="str">
        <f>"３９２　　　　　　　　　　　　　　　　　"</f>
        <v>３９２　　　　　　　　　　　　　　　　　</v>
      </c>
      <c r="L544" s="1"/>
    </row>
    <row r="545" spans="1:12" ht="18" customHeight="1" x14ac:dyDescent="0.15">
      <c r="A545" s="11">
        <v>1702</v>
      </c>
      <c r="B545" s="11" t="s">
        <v>53</v>
      </c>
      <c r="C545" s="11" t="s">
        <v>156</v>
      </c>
      <c r="D545" s="11">
        <v>1</v>
      </c>
      <c r="E545" s="11" t="s">
        <v>4</v>
      </c>
      <c r="F545" s="12">
        <v>20600</v>
      </c>
      <c r="G545" s="12">
        <v>20600</v>
      </c>
      <c r="H545" s="11" t="str">
        <f t="shared" si="20"/>
        <v>平成4年12月5日</v>
      </c>
      <c r="I545" s="22">
        <f t="shared" si="21"/>
        <v>33943</v>
      </c>
      <c r="J545" s="1" t="str">
        <f>"00739797"</f>
        <v>00739797</v>
      </c>
      <c r="K545" s="1" t="str">
        <f>"３９３　　　　　　　　　　　　　　　　　"</f>
        <v>３９３　　　　　　　　　　　　　　　　　</v>
      </c>
      <c r="L545" s="1"/>
    </row>
    <row r="546" spans="1:12" ht="18" customHeight="1" x14ac:dyDescent="0.15">
      <c r="A546" s="11">
        <v>1703</v>
      </c>
      <c r="B546" s="11" t="s">
        <v>53</v>
      </c>
      <c r="C546" s="11" t="s">
        <v>156</v>
      </c>
      <c r="D546" s="11">
        <v>1</v>
      </c>
      <c r="E546" s="11" t="s">
        <v>4</v>
      </c>
      <c r="F546" s="12">
        <v>20600</v>
      </c>
      <c r="G546" s="12">
        <v>20600</v>
      </c>
      <c r="H546" s="11" t="str">
        <f t="shared" si="20"/>
        <v>平成4年12月5日</v>
      </c>
      <c r="I546" s="22">
        <f t="shared" si="21"/>
        <v>33943</v>
      </c>
      <c r="J546" s="1" t="str">
        <f>"00739799"</f>
        <v>00739799</v>
      </c>
      <c r="K546" s="1" t="str">
        <f>"３９４　　　　　　　　　　　　　　　　　"</f>
        <v>３９４　　　　　　　　　　　　　　　　　</v>
      </c>
      <c r="L546" s="1"/>
    </row>
    <row r="547" spans="1:12" ht="18" customHeight="1" x14ac:dyDescent="0.15">
      <c r="A547" s="11">
        <v>1704</v>
      </c>
      <c r="B547" s="11" t="s">
        <v>53</v>
      </c>
      <c r="C547" s="11" t="s">
        <v>156</v>
      </c>
      <c r="D547" s="11">
        <v>1</v>
      </c>
      <c r="E547" s="11" t="s">
        <v>4</v>
      </c>
      <c r="F547" s="12">
        <v>20600</v>
      </c>
      <c r="G547" s="12">
        <v>20600</v>
      </c>
      <c r="H547" s="11" t="str">
        <f t="shared" si="20"/>
        <v>平成4年12月5日</v>
      </c>
      <c r="I547" s="22">
        <f t="shared" si="21"/>
        <v>33943</v>
      </c>
      <c r="J547" s="1" t="str">
        <f>"00739801"</f>
        <v>00739801</v>
      </c>
      <c r="K547" s="1" t="str">
        <f>"３９５　　　　　　　　　　　　　　　　　"</f>
        <v>３９５　　　　　　　　　　　　　　　　　</v>
      </c>
      <c r="L547" s="1"/>
    </row>
    <row r="548" spans="1:12" ht="18" customHeight="1" x14ac:dyDescent="0.15">
      <c r="A548" s="11">
        <v>1705</v>
      </c>
      <c r="B548" s="11" t="s">
        <v>53</v>
      </c>
      <c r="C548" s="11" t="s">
        <v>156</v>
      </c>
      <c r="D548" s="11">
        <v>1</v>
      </c>
      <c r="E548" s="11" t="s">
        <v>4</v>
      </c>
      <c r="F548" s="12">
        <v>20600</v>
      </c>
      <c r="G548" s="12">
        <v>20600</v>
      </c>
      <c r="H548" s="11" t="str">
        <f t="shared" si="20"/>
        <v>平成4年12月5日</v>
      </c>
      <c r="I548" s="22">
        <f t="shared" si="21"/>
        <v>33943</v>
      </c>
      <c r="J548" s="1" t="str">
        <f>"00739803"</f>
        <v>00739803</v>
      </c>
      <c r="K548" s="1" t="str">
        <f>"３９６　　　　　　　　　　　　　　　　　"</f>
        <v>３９６　　　　　　　　　　　　　　　　　</v>
      </c>
      <c r="L548" s="1"/>
    </row>
    <row r="549" spans="1:12" ht="18" customHeight="1" x14ac:dyDescent="0.15">
      <c r="A549" s="11">
        <v>1706</v>
      </c>
      <c r="B549" s="11" t="s">
        <v>53</v>
      </c>
      <c r="C549" s="11" t="s">
        <v>156</v>
      </c>
      <c r="D549" s="11">
        <v>1</v>
      </c>
      <c r="E549" s="11" t="s">
        <v>4</v>
      </c>
      <c r="F549" s="12">
        <v>20600</v>
      </c>
      <c r="G549" s="12">
        <v>20600</v>
      </c>
      <c r="H549" s="11" t="str">
        <f t="shared" si="20"/>
        <v>平成4年12月5日</v>
      </c>
      <c r="I549" s="22">
        <f t="shared" si="21"/>
        <v>33943</v>
      </c>
      <c r="J549" s="1" t="str">
        <f>"00739805"</f>
        <v>00739805</v>
      </c>
      <c r="K549" s="1" t="str">
        <f>"３９７　　　　　　　　　　　　　　　　　"</f>
        <v>３９７　　　　　　　　　　　　　　　　　</v>
      </c>
      <c r="L549" s="1"/>
    </row>
    <row r="550" spans="1:12" ht="18" customHeight="1" x14ac:dyDescent="0.15">
      <c r="A550" s="11">
        <v>1707</v>
      </c>
      <c r="B550" s="11" t="s">
        <v>53</v>
      </c>
      <c r="C550" s="11" t="s">
        <v>156</v>
      </c>
      <c r="D550" s="11">
        <v>1</v>
      </c>
      <c r="E550" s="11" t="s">
        <v>4</v>
      </c>
      <c r="F550" s="12">
        <v>20600</v>
      </c>
      <c r="G550" s="12">
        <v>20600</v>
      </c>
      <c r="H550" s="11" t="str">
        <f t="shared" si="20"/>
        <v>平成4年12月5日</v>
      </c>
      <c r="I550" s="22">
        <f t="shared" si="21"/>
        <v>33943</v>
      </c>
      <c r="J550" s="1" t="str">
        <f>"00739807"</f>
        <v>00739807</v>
      </c>
      <c r="K550" s="1" t="str">
        <f>"３９８　　　　　　　　　　　　　　　　　"</f>
        <v>３９８　　　　　　　　　　　　　　　　　</v>
      </c>
      <c r="L550" s="1"/>
    </row>
    <row r="551" spans="1:12" ht="18" customHeight="1" x14ac:dyDescent="0.15">
      <c r="A551" s="11">
        <v>1708</v>
      </c>
      <c r="B551" s="11" t="s">
        <v>53</v>
      </c>
      <c r="C551" s="11" t="s">
        <v>156</v>
      </c>
      <c r="D551" s="11">
        <v>1</v>
      </c>
      <c r="E551" s="11" t="s">
        <v>4</v>
      </c>
      <c r="F551" s="12">
        <v>20600</v>
      </c>
      <c r="G551" s="12">
        <v>20600</v>
      </c>
      <c r="H551" s="11" t="str">
        <f t="shared" si="20"/>
        <v>平成4年12月5日</v>
      </c>
      <c r="I551" s="22">
        <f t="shared" si="21"/>
        <v>33943</v>
      </c>
      <c r="J551" s="1" t="str">
        <f>"00739808"</f>
        <v>00739808</v>
      </c>
      <c r="K551" s="1" t="str">
        <f>"３９９　　　　　　　　　　　　　　　　　"</f>
        <v>３９９　　　　　　　　　　　　　　　　　</v>
      </c>
      <c r="L551" s="1"/>
    </row>
    <row r="552" spans="1:12" ht="18" customHeight="1" x14ac:dyDescent="0.15">
      <c r="A552" s="11">
        <v>1709</v>
      </c>
      <c r="B552" s="11" t="s">
        <v>53</v>
      </c>
      <c r="C552" s="11" t="s">
        <v>156</v>
      </c>
      <c r="D552" s="11">
        <v>1</v>
      </c>
      <c r="E552" s="11" t="s">
        <v>4</v>
      </c>
      <c r="F552" s="12">
        <v>20600</v>
      </c>
      <c r="G552" s="12">
        <v>20600</v>
      </c>
      <c r="H552" s="11" t="str">
        <f t="shared" si="20"/>
        <v>平成4年12月5日</v>
      </c>
      <c r="I552" s="22">
        <f t="shared" si="21"/>
        <v>33943</v>
      </c>
      <c r="J552" s="1" t="str">
        <f>"00739810"</f>
        <v>00739810</v>
      </c>
      <c r="K552" s="1" t="str">
        <f>"４００　　　　　　　　　　　　　　　　　"</f>
        <v>４００　　　　　　　　　　　　　　　　　</v>
      </c>
      <c r="L552" s="1"/>
    </row>
    <row r="553" spans="1:12" ht="18" customHeight="1" x14ac:dyDescent="0.15">
      <c r="A553" s="11">
        <v>1710</v>
      </c>
      <c r="B553" s="11" t="s">
        <v>53</v>
      </c>
      <c r="C553" s="11" t="s">
        <v>156</v>
      </c>
      <c r="D553" s="11">
        <v>1</v>
      </c>
      <c r="E553" s="11" t="s">
        <v>4</v>
      </c>
      <c r="F553" s="12">
        <v>20600</v>
      </c>
      <c r="G553" s="12">
        <v>20600</v>
      </c>
      <c r="H553" s="11" t="str">
        <f t="shared" si="20"/>
        <v>平成4年12月5日</v>
      </c>
      <c r="I553" s="22">
        <f t="shared" si="21"/>
        <v>33943</v>
      </c>
      <c r="J553" s="1" t="str">
        <f>"00739812"</f>
        <v>00739812</v>
      </c>
      <c r="K553" s="1" t="str">
        <f>"４０１　　　　　　　　　　　　　　　　　"</f>
        <v>４０１　　　　　　　　　　　　　　　　　</v>
      </c>
      <c r="L553" s="1"/>
    </row>
    <row r="554" spans="1:12" ht="18" customHeight="1" x14ac:dyDescent="0.15">
      <c r="A554" s="11">
        <v>1711</v>
      </c>
      <c r="B554" s="11" t="s">
        <v>53</v>
      </c>
      <c r="C554" s="11" t="s">
        <v>156</v>
      </c>
      <c r="D554" s="11">
        <v>1</v>
      </c>
      <c r="E554" s="11" t="s">
        <v>4</v>
      </c>
      <c r="F554" s="12">
        <v>20600</v>
      </c>
      <c r="G554" s="12">
        <v>20600</v>
      </c>
      <c r="H554" s="11" t="str">
        <f t="shared" si="20"/>
        <v>平成4年12月5日</v>
      </c>
      <c r="I554" s="22">
        <f t="shared" si="21"/>
        <v>33943</v>
      </c>
      <c r="J554" s="1" t="str">
        <f>"00739814"</f>
        <v>00739814</v>
      </c>
      <c r="K554" s="1" t="str">
        <f>"４０２　　　　　　　　　　　　　　　　　"</f>
        <v>４０２　　　　　　　　　　　　　　　　　</v>
      </c>
      <c r="L554" s="1"/>
    </row>
    <row r="555" spans="1:12" ht="18" customHeight="1" x14ac:dyDescent="0.15">
      <c r="A555" s="11">
        <v>1712</v>
      </c>
      <c r="B555" s="11" t="s">
        <v>53</v>
      </c>
      <c r="C555" s="11" t="s">
        <v>156</v>
      </c>
      <c r="D555" s="11">
        <v>1</v>
      </c>
      <c r="E555" s="11" t="s">
        <v>4</v>
      </c>
      <c r="F555" s="12">
        <v>20600</v>
      </c>
      <c r="G555" s="12">
        <v>20600</v>
      </c>
      <c r="H555" s="11" t="str">
        <f t="shared" si="20"/>
        <v>平成4年12月5日</v>
      </c>
      <c r="I555" s="22">
        <f t="shared" si="21"/>
        <v>33943</v>
      </c>
      <c r="J555" s="1" t="str">
        <f>"00739817"</f>
        <v>00739817</v>
      </c>
      <c r="K555" s="1" t="str">
        <f>"４０３　　　　　　　　　　　　　　　　　"</f>
        <v>４０３　　　　　　　　　　　　　　　　　</v>
      </c>
      <c r="L555" s="1"/>
    </row>
    <row r="556" spans="1:12" ht="18" customHeight="1" x14ac:dyDescent="0.15">
      <c r="A556" s="11">
        <v>1713</v>
      </c>
      <c r="B556" s="11" t="s">
        <v>53</v>
      </c>
      <c r="C556" s="11" t="s">
        <v>156</v>
      </c>
      <c r="D556" s="11">
        <v>1</v>
      </c>
      <c r="E556" s="11" t="s">
        <v>4</v>
      </c>
      <c r="F556" s="12">
        <v>20600</v>
      </c>
      <c r="G556" s="12">
        <v>20600</v>
      </c>
      <c r="H556" s="11" t="str">
        <f t="shared" si="20"/>
        <v>平成4年12月5日</v>
      </c>
      <c r="I556" s="22">
        <f t="shared" si="21"/>
        <v>33943</v>
      </c>
      <c r="J556" s="1" t="str">
        <f>"00739818"</f>
        <v>00739818</v>
      </c>
      <c r="K556" s="1" t="str">
        <f>"４０４　　　　　　　　　　　　　　　　　"</f>
        <v>４０４　　　　　　　　　　　　　　　　　</v>
      </c>
      <c r="L556" s="1"/>
    </row>
    <row r="557" spans="1:12" ht="18" customHeight="1" x14ac:dyDescent="0.15">
      <c r="A557" s="11">
        <v>1714</v>
      </c>
      <c r="B557" s="11" t="s">
        <v>53</v>
      </c>
      <c r="C557" s="11" t="s">
        <v>156</v>
      </c>
      <c r="D557" s="11">
        <v>1</v>
      </c>
      <c r="E557" s="11" t="s">
        <v>4</v>
      </c>
      <c r="F557" s="12">
        <v>20600</v>
      </c>
      <c r="G557" s="12">
        <v>20600</v>
      </c>
      <c r="H557" s="11" t="str">
        <f t="shared" si="20"/>
        <v>平成4年12月5日</v>
      </c>
      <c r="I557" s="22">
        <f t="shared" si="21"/>
        <v>33943</v>
      </c>
      <c r="J557" s="1" t="str">
        <f>"00739821"</f>
        <v>00739821</v>
      </c>
      <c r="K557" s="1" t="str">
        <f>"４０５　　　　　　　　　　　　　　　　　"</f>
        <v>４０５　　　　　　　　　　　　　　　　　</v>
      </c>
      <c r="L557" s="1"/>
    </row>
    <row r="558" spans="1:12" ht="18" customHeight="1" x14ac:dyDescent="0.15">
      <c r="A558" s="11">
        <v>1715</v>
      </c>
      <c r="B558" s="11" t="s">
        <v>53</v>
      </c>
      <c r="C558" s="11" t="s">
        <v>156</v>
      </c>
      <c r="D558" s="11">
        <v>1</v>
      </c>
      <c r="E558" s="11" t="s">
        <v>4</v>
      </c>
      <c r="F558" s="12">
        <v>20600</v>
      </c>
      <c r="G558" s="12">
        <v>20600</v>
      </c>
      <c r="H558" s="11" t="str">
        <f t="shared" ref="H558:H621" si="22">"平成4年12月5日"</f>
        <v>平成4年12月5日</v>
      </c>
      <c r="I558" s="22">
        <f t="shared" si="21"/>
        <v>33943</v>
      </c>
      <c r="J558" s="1" t="str">
        <f>"00739822"</f>
        <v>00739822</v>
      </c>
      <c r="K558" s="1" t="str">
        <f>"４０６　　　　　　　　　　　　　　　　　"</f>
        <v>４０６　　　　　　　　　　　　　　　　　</v>
      </c>
      <c r="L558" s="1"/>
    </row>
    <row r="559" spans="1:12" ht="18" customHeight="1" x14ac:dyDescent="0.15">
      <c r="A559" s="11">
        <v>1716</v>
      </c>
      <c r="B559" s="11" t="s">
        <v>53</v>
      </c>
      <c r="C559" s="11" t="s">
        <v>156</v>
      </c>
      <c r="D559" s="11">
        <v>1</v>
      </c>
      <c r="E559" s="11" t="s">
        <v>4</v>
      </c>
      <c r="F559" s="12">
        <v>20600</v>
      </c>
      <c r="G559" s="12">
        <v>20600</v>
      </c>
      <c r="H559" s="11" t="str">
        <f t="shared" si="22"/>
        <v>平成4年12月5日</v>
      </c>
      <c r="I559" s="22">
        <f t="shared" si="21"/>
        <v>33943</v>
      </c>
      <c r="J559" s="1" t="str">
        <f>"00739824"</f>
        <v>00739824</v>
      </c>
      <c r="K559" s="1" t="str">
        <f>"４０７　　　　　　　　　　　　　　　　　"</f>
        <v>４０７　　　　　　　　　　　　　　　　　</v>
      </c>
      <c r="L559" s="1"/>
    </row>
    <row r="560" spans="1:12" ht="18" customHeight="1" x14ac:dyDescent="0.15">
      <c r="A560" s="11">
        <v>1717</v>
      </c>
      <c r="B560" s="11" t="s">
        <v>53</v>
      </c>
      <c r="C560" s="11" t="s">
        <v>156</v>
      </c>
      <c r="D560" s="11">
        <v>1</v>
      </c>
      <c r="E560" s="11" t="s">
        <v>4</v>
      </c>
      <c r="F560" s="12">
        <v>20600</v>
      </c>
      <c r="G560" s="12">
        <v>20600</v>
      </c>
      <c r="H560" s="11" t="str">
        <f t="shared" si="22"/>
        <v>平成4年12月5日</v>
      </c>
      <c r="I560" s="22">
        <f t="shared" si="21"/>
        <v>33943</v>
      </c>
      <c r="J560" s="1" t="str">
        <f>"00739826"</f>
        <v>00739826</v>
      </c>
      <c r="K560" s="1" t="str">
        <f>"４０８　　　　　　　　　　　　　　　　　"</f>
        <v>４０８　　　　　　　　　　　　　　　　　</v>
      </c>
      <c r="L560" s="1"/>
    </row>
    <row r="561" spans="1:12" ht="18" customHeight="1" x14ac:dyDescent="0.15">
      <c r="A561" s="11">
        <v>1718</v>
      </c>
      <c r="B561" s="11" t="s">
        <v>53</v>
      </c>
      <c r="C561" s="11" t="s">
        <v>156</v>
      </c>
      <c r="D561" s="11">
        <v>1</v>
      </c>
      <c r="E561" s="11" t="s">
        <v>4</v>
      </c>
      <c r="F561" s="12">
        <v>20600</v>
      </c>
      <c r="G561" s="12">
        <v>20600</v>
      </c>
      <c r="H561" s="11" t="str">
        <f t="shared" si="22"/>
        <v>平成4年12月5日</v>
      </c>
      <c r="I561" s="22">
        <f t="shared" si="21"/>
        <v>33943</v>
      </c>
      <c r="J561" s="1" t="str">
        <f>"00739828"</f>
        <v>00739828</v>
      </c>
      <c r="K561" s="1" t="str">
        <f>"４０９　　　　　　　　　　　　　　　　　"</f>
        <v>４０９　　　　　　　　　　　　　　　　　</v>
      </c>
      <c r="L561" s="1"/>
    </row>
    <row r="562" spans="1:12" ht="18" customHeight="1" x14ac:dyDescent="0.15">
      <c r="A562" s="11">
        <v>1719</v>
      </c>
      <c r="B562" s="11" t="s">
        <v>53</v>
      </c>
      <c r="C562" s="11" t="s">
        <v>156</v>
      </c>
      <c r="D562" s="11">
        <v>1</v>
      </c>
      <c r="E562" s="11" t="s">
        <v>4</v>
      </c>
      <c r="F562" s="12">
        <v>20600</v>
      </c>
      <c r="G562" s="12">
        <v>20600</v>
      </c>
      <c r="H562" s="11" t="str">
        <f t="shared" si="22"/>
        <v>平成4年12月5日</v>
      </c>
      <c r="I562" s="22">
        <f t="shared" si="21"/>
        <v>33943</v>
      </c>
      <c r="J562" s="1" t="str">
        <f>"00739830"</f>
        <v>00739830</v>
      </c>
      <c r="K562" s="1" t="str">
        <f>"４１０　　　　　　　　　　　　　　　　　"</f>
        <v>４１０　　　　　　　　　　　　　　　　　</v>
      </c>
      <c r="L562" s="1"/>
    </row>
    <row r="563" spans="1:12" ht="18" customHeight="1" x14ac:dyDescent="0.15">
      <c r="A563" s="11">
        <v>1720</v>
      </c>
      <c r="B563" s="11" t="s">
        <v>53</v>
      </c>
      <c r="C563" s="11" t="s">
        <v>156</v>
      </c>
      <c r="D563" s="11">
        <v>1</v>
      </c>
      <c r="E563" s="11" t="s">
        <v>4</v>
      </c>
      <c r="F563" s="12">
        <v>20600</v>
      </c>
      <c r="G563" s="12">
        <v>20600</v>
      </c>
      <c r="H563" s="11" t="str">
        <f t="shared" si="22"/>
        <v>平成4年12月5日</v>
      </c>
      <c r="I563" s="22">
        <f t="shared" si="21"/>
        <v>33943</v>
      </c>
      <c r="J563" s="1" t="str">
        <f>"00739832"</f>
        <v>00739832</v>
      </c>
      <c r="K563" s="1" t="str">
        <f>"４１１　　　　　　　　　　　　　　　　　"</f>
        <v>４１１　　　　　　　　　　　　　　　　　</v>
      </c>
      <c r="L563" s="1"/>
    </row>
    <row r="564" spans="1:12" ht="18" customHeight="1" x14ac:dyDescent="0.15">
      <c r="A564" s="11">
        <v>1721</v>
      </c>
      <c r="B564" s="11" t="s">
        <v>53</v>
      </c>
      <c r="C564" s="11" t="s">
        <v>156</v>
      </c>
      <c r="D564" s="11">
        <v>1</v>
      </c>
      <c r="E564" s="11" t="s">
        <v>4</v>
      </c>
      <c r="F564" s="12">
        <v>20600</v>
      </c>
      <c r="G564" s="12">
        <v>20600</v>
      </c>
      <c r="H564" s="11" t="str">
        <f t="shared" si="22"/>
        <v>平成4年12月5日</v>
      </c>
      <c r="I564" s="22">
        <f t="shared" si="21"/>
        <v>33943</v>
      </c>
      <c r="J564" s="1" t="str">
        <f>"00739834"</f>
        <v>00739834</v>
      </c>
      <c r="K564" s="1" t="str">
        <f>"４１２　　　　　　　　　　　　　　　　　"</f>
        <v>４１２　　　　　　　　　　　　　　　　　</v>
      </c>
      <c r="L564" s="1"/>
    </row>
    <row r="565" spans="1:12" ht="18" customHeight="1" x14ac:dyDescent="0.15">
      <c r="A565" s="11">
        <v>1722</v>
      </c>
      <c r="B565" s="11" t="s">
        <v>53</v>
      </c>
      <c r="C565" s="11" t="s">
        <v>156</v>
      </c>
      <c r="D565" s="11">
        <v>1</v>
      </c>
      <c r="E565" s="11" t="s">
        <v>4</v>
      </c>
      <c r="F565" s="12">
        <v>20600</v>
      </c>
      <c r="G565" s="12">
        <v>20600</v>
      </c>
      <c r="H565" s="11" t="str">
        <f t="shared" si="22"/>
        <v>平成4年12月5日</v>
      </c>
      <c r="I565" s="22">
        <f t="shared" si="21"/>
        <v>33943</v>
      </c>
      <c r="J565" s="1" t="str">
        <f>"00739836"</f>
        <v>00739836</v>
      </c>
      <c r="K565" s="1" t="str">
        <f>"４１３　　　　　　　　　　　　　　　　　"</f>
        <v>４１３　　　　　　　　　　　　　　　　　</v>
      </c>
      <c r="L565" s="1"/>
    </row>
    <row r="566" spans="1:12" ht="18" customHeight="1" x14ac:dyDescent="0.15">
      <c r="A566" s="11">
        <v>1723</v>
      </c>
      <c r="B566" s="11" t="s">
        <v>53</v>
      </c>
      <c r="C566" s="11" t="s">
        <v>156</v>
      </c>
      <c r="D566" s="11">
        <v>1</v>
      </c>
      <c r="E566" s="11" t="s">
        <v>4</v>
      </c>
      <c r="F566" s="12">
        <v>20600</v>
      </c>
      <c r="G566" s="12">
        <v>20600</v>
      </c>
      <c r="H566" s="11" t="str">
        <f t="shared" si="22"/>
        <v>平成4年12月5日</v>
      </c>
      <c r="I566" s="22">
        <f t="shared" si="21"/>
        <v>33943</v>
      </c>
      <c r="J566" s="1" t="str">
        <f>"00739838"</f>
        <v>00739838</v>
      </c>
      <c r="K566" s="1" t="str">
        <f>"４１４　　　　　　　　　　　　　　　　　"</f>
        <v>４１４　　　　　　　　　　　　　　　　　</v>
      </c>
      <c r="L566" s="1"/>
    </row>
    <row r="567" spans="1:12" ht="18" customHeight="1" x14ac:dyDescent="0.15">
      <c r="A567" s="11">
        <v>1724</v>
      </c>
      <c r="B567" s="11" t="s">
        <v>53</v>
      </c>
      <c r="C567" s="11" t="s">
        <v>156</v>
      </c>
      <c r="D567" s="11">
        <v>1</v>
      </c>
      <c r="E567" s="11" t="s">
        <v>4</v>
      </c>
      <c r="F567" s="12">
        <v>20600</v>
      </c>
      <c r="G567" s="12">
        <v>20600</v>
      </c>
      <c r="H567" s="11" t="str">
        <f t="shared" si="22"/>
        <v>平成4年12月5日</v>
      </c>
      <c r="I567" s="22">
        <f t="shared" si="21"/>
        <v>33943</v>
      </c>
      <c r="J567" s="1" t="str">
        <f>"00739841"</f>
        <v>00739841</v>
      </c>
      <c r="K567" s="1" t="str">
        <f>"４１５　　　　　　　　　　　　　　　　　"</f>
        <v>４１５　　　　　　　　　　　　　　　　　</v>
      </c>
      <c r="L567" s="1"/>
    </row>
    <row r="568" spans="1:12" ht="18" customHeight="1" x14ac:dyDescent="0.15">
      <c r="A568" s="11">
        <v>1725</v>
      </c>
      <c r="B568" s="11" t="s">
        <v>53</v>
      </c>
      <c r="C568" s="11" t="s">
        <v>156</v>
      </c>
      <c r="D568" s="11">
        <v>1</v>
      </c>
      <c r="E568" s="11" t="s">
        <v>4</v>
      </c>
      <c r="F568" s="12">
        <v>20600</v>
      </c>
      <c r="G568" s="12">
        <v>20600</v>
      </c>
      <c r="H568" s="11" t="str">
        <f t="shared" si="22"/>
        <v>平成4年12月5日</v>
      </c>
      <c r="I568" s="22">
        <f t="shared" si="21"/>
        <v>33943</v>
      </c>
      <c r="J568" s="1" t="str">
        <f>"00739843"</f>
        <v>00739843</v>
      </c>
      <c r="K568" s="1" t="str">
        <f>"４１６　　　　　　　　　　　　　　　　　"</f>
        <v>４１６　　　　　　　　　　　　　　　　　</v>
      </c>
      <c r="L568" s="1"/>
    </row>
    <row r="569" spans="1:12" ht="18" customHeight="1" x14ac:dyDescent="0.15">
      <c r="A569" s="11">
        <v>1726</v>
      </c>
      <c r="B569" s="11" t="s">
        <v>53</v>
      </c>
      <c r="C569" s="11" t="s">
        <v>156</v>
      </c>
      <c r="D569" s="11">
        <v>1</v>
      </c>
      <c r="E569" s="11" t="s">
        <v>4</v>
      </c>
      <c r="F569" s="12">
        <v>20600</v>
      </c>
      <c r="G569" s="12">
        <v>20600</v>
      </c>
      <c r="H569" s="11" t="str">
        <f t="shared" si="22"/>
        <v>平成4年12月5日</v>
      </c>
      <c r="I569" s="22">
        <f t="shared" si="21"/>
        <v>33943</v>
      </c>
      <c r="J569" s="1" t="str">
        <f>"00739845"</f>
        <v>00739845</v>
      </c>
      <c r="K569" s="1" t="str">
        <f>"４１７　　　　　　　　　　　　　　　　　"</f>
        <v>４１７　　　　　　　　　　　　　　　　　</v>
      </c>
      <c r="L569" s="1"/>
    </row>
    <row r="570" spans="1:12" ht="18" customHeight="1" x14ac:dyDescent="0.15">
      <c r="A570" s="11">
        <v>1727</v>
      </c>
      <c r="B570" s="11" t="s">
        <v>53</v>
      </c>
      <c r="C570" s="11" t="s">
        <v>156</v>
      </c>
      <c r="D570" s="11">
        <v>1</v>
      </c>
      <c r="E570" s="11" t="s">
        <v>4</v>
      </c>
      <c r="F570" s="12">
        <v>20600</v>
      </c>
      <c r="G570" s="12">
        <v>20600</v>
      </c>
      <c r="H570" s="11" t="str">
        <f t="shared" si="22"/>
        <v>平成4年12月5日</v>
      </c>
      <c r="I570" s="22">
        <f t="shared" si="21"/>
        <v>33943</v>
      </c>
      <c r="J570" s="1" t="str">
        <f>"00739847"</f>
        <v>00739847</v>
      </c>
      <c r="K570" s="1" t="str">
        <f>"４１８　　　　　　　　　　　　　　　　　"</f>
        <v>４１８　　　　　　　　　　　　　　　　　</v>
      </c>
      <c r="L570" s="1"/>
    </row>
    <row r="571" spans="1:12" ht="18" customHeight="1" x14ac:dyDescent="0.15">
      <c r="A571" s="11">
        <v>1728</v>
      </c>
      <c r="B571" s="11" t="s">
        <v>53</v>
      </c>
      <c r="C571" s="11" t="s">
        <v>156</v>
      </c>
      <c r="D571" s="11">
        <v>1</v>
      </c>
      <c r="E571" s="11" t="s">
        <v>4</v>
      </c>
      <c r="F571" s="12">
        <v>20600</v>
      </c>
      <c r="G571" s="12">
        <v>20600</v>
      </c>
      <c r="H571" s="11" t="str">
        <f t="shared" si="22"/>
        <v>平成4年12月5日</v>
      </c>
      <c r="I571" s="22">
        <f t="shared" si="21"/>
        <v>33943</v>
      </c>
      <c r="J571" s="1" t="str">
        <f>"00739849"</f>
        <v>00739849</v>
      </c>
      <c r="K571" s="1" t="str">
        <f>"４１９　　　　　　　　　　　　　　　　　"</f>
        <v>４１９　　　　　　　　　　　　　　　　　</v>
      </c>
      <c r="L571" s="1"/>
    </row>
    <row r="572" spans="1:12" ht="18" customHeight="1" x14ac:dyDescent="0.15">
      <c r="A572" s="11">
        <v>1729</v>
      </c>
      <c r="B572" s="11" t="s">
        <v>53</v>
      </c>
      <c r="C572" s="11" t="s">
        <v>156</v>
      </c>
      <c r="D572" s="11">
        <v>1</v>
      </c>
      <c r="E572" s="11" t="s">
        <v>4</v>
      </c>
      <c r="F572" s="12">
        <v>20600</v>
      </c>
      <c r="G572" s="12">
        <v>20600</v>
      </c>
      <c r="H572" s="11" t="str">
        <f t="shared" si="22"/>
        <v>平成4年12月5日</v>
      </c>
      <c r="I572" s="22">
        <f t="shared" si="21"/>
        <v>33943</v>
      </c>
      <c r="J572" s="1" t="str">
        <f>"00739851"</f>
        <v>00739851</v>
      </c>
      <c r="K572" s="1" t="str">
        <f>"４２０　　　　　　　　　　　　　　　　　"</f>
        <v>４２０　　　　　　　　　　　　　　　　　</v>
      </c>
      <c r="L572" s="1"/>
    </row>
    <row r="573" spans="1:12" ht="18" customHeight="1" x14ac:dyDescent="0.15">
      <c r="A573" s="11">
        <v>1730</v>
      </c>
      <c r="B573" s="11" t="s">
        <v>53</v>
      </c>
      <c r="C573" s="11" t="s">
        <v>156</v>
      </c>
      <c r="D573" s="11">
        <v>1</v>
      </c>
      <c r="E573" s="11" t="s">
        <v>4</v>
      </c>
      <c r="F573" s="12">
        <v>20600</v>
      </c>
      <c r="G573" s="12">
        <v>20600</v>
      </c>
      <c r="H573" s="11" t="str">
        <f t="shared" si="22"/>
        <v>平成4年12月5日</v>
      </c>
      <c r="I573" s="22">
        <f t="shared" si="21"/>
        <v>33943</v>
      </c>
      <c r="J573" s="1" t="str">
        <f>"00739853"</f>
        <v>00739853</v>
      </c>
      <c r="K573" s="1" t="str">
        <f>"４２１　　　　　　　　　　　　　　　　　"</f>
        <v>４２１　　　　　　　　　　　　　　　　　</v>
      </c>
      <c r="L573" s="1"/>
    </row>
    <row r="574" spans="1:12" ht="18" customHeight="1" x14ac:dyDescent="0.15">
      <c r="A574" s="11">
        <v>1731</v>
      </c>
      <c r="B574" s="11" t="s">
        <v>53</v>
      </c>
      <c r="C574" s="11" t="s">
        <v>156</v>
      </c>
      <c r="D574" s="11">
        <v>1</v>
      </c>
      <c r="E574" s="11" t="s">
        <v>4</v>
      </c>
      <c r="F574" s="12">
        <v>20600</v>
      </c>
      <c r="G574" s="12">
        <v>20600</v>
      </c>
      <c r="H574" s="11" t="str">
        <f t="shared" si="22"/>
        <v>平成4年12月5日</v>
      </c>
      <c r="I574" s="22">
        <f t="shared" si="21"/>
        <v>33943</v>
      </c>
      <c r="J574" s="1" t="str">
        <f>"00739855"</f>
        <v>00739855</v>
      </c>
      <c r="K574" s="1" t="str">
        <f>"４２３　　　　　　　　　　　　　　　　　"</f>
        <v>４２３　　　　　　　　　　　　　　　　　</v>
      </c>
      <c r="L574" s="1"/>
    </row>
    <row r="575" spans="1:12" ht="18" customHeight="1" x14ac:dyDescent="0.15">
      <c r="A575" s="11">
        <v>1732</v>
      </c>
      <c r="B575" s="11" t="s">
        <v>53</v>
      </c>
      <c r="C575" s="11" t="s">
        <v>156</v>
      </c>
      <c r="D575" s="11">
        <v>1</v>
      </c>
      <c r="E575" s="11" t="s">
        <v>4</v>
      </c>
      <c r="F575" s="12">
        <v>20600</v>
      </c>
      <c r="G575" s="12">
        <v>20600</v>
      </c>
      <c r="H575" s="11" t="str">
        <f t="shared" si="22"/>
        <v>平成4年12月5日</v>
      </c>
      <c r="I575" s="22">
        <f t="shared" si="21"/>
        <v>33943</v>
      </c>
      <c r="J575" s="1" t="str">
        <f>"00739857"</f>
        <v>00739857</v>
      </c>
      <c r="K575" s="1" t="str">
        <f>"４２４　　　　　　　　　　　　　　　　　"</f>
        <v>４２４　　　　　　　　　　　　　　　　　</v>
      </c>
      <c r="L575" s="1"/>
    </row>
    <row r="576" spans="1:12" ht="18" customHeight="1" x14ac:dyDescent="0.15">
      <c r="A576" s="11">
        <v>1733</v>
      </c>
      <c r="B576" s="11" t="s">
        <v>53</v>
      </c>
      <c r="C576" s="11" t="s">
        <v>156</v>
      </c>
      <c r="D576" s="11">
        <v>1</v>
      </c>
      <c r="E576" s="11" t="s">
        <v>4</v>
      </c>
      <c r="F576" s="12">
        <v>20600</v>
      </c>
      <c r="G576" s="12">
        <v>20600</v>
      </c>
      <c r="H576" s="11" t="str">
        <f t="shared" si="22"/>
        <v>平成4年12月5日</v>
      </c>
      <c r="I576" s="22">
        <f t="shared" si="21"/>
        <v>33943</v>
      </c>
      <c r="J576" s="1" t="str">
        <f>"00739859"</f>
        <v>00739859</v>
      </c>
      <c r="K576" s="1" t="str">
        <f>"４２５　　　　　　　　　　　　　　　　　"</f>
        <v>４２５　　　　　　　　　　　　　　　　　</v>
      </c>
      <c r="L576" s="1"/>
    </row>
    <row r="577" spans="1:12" ht="18" customHeight="1" x14ac:dyDescent="0.15">
      <c r="A577" s="11">
        <v>1734</v>
      </c>
      <c r="B577" s="11" t="s">
        <v>53</v>
      </c>
      <c r="C577" s="11" t="s">
        <v>156</v>
      </c>
      <c r="D577" s="11">
        <v>1</v>
      </c>
      <c r="E577" s="11" t="s">
        <v>4</v>
      </c>
      <c r="F577" s="12">
        <v>20600</v>
      </c>
      <c r="G577" s="12">
        <v>20600</v>
      </c>
      <c r="H577" s="11" t="str">
        <f t="shared" si="22"/>
        <v>平成4年12月5日</v>
      </c>
      <c r="I577" s="22">
        <f t="shared" si="21"/>
        <v>33943</v>
      </c>
      <c r="J577" s="1" t="str">
        <f>"00739861"</f>
        <v>00739861</v>
      </c>
      <c r="K577" s="1" t="str">
        <f>"４２６　　　　　　　　　　　　　　　　　"</f>
        <v>４２６　　　　　　　　　　　　　　　　　</v>
      </c>
      <c r="L577" s="1"/>
    </row>
    <row r="578" spans="1:12" ht="18" customHeight="1" x14ac:dyDescent="0.15">
      <c r="A578" s="11">
        <v>1735</v>
      </c>
      <c r="B578" s="11" t="s">
        <v>53</v>
      </c>
      <c r="C578" s="11" t="s">
        <v>156</v>
      </c>
      <c r="D578" s="11">
        <v>1</v>
      </c>
      <c r="E578" s="11" t="s">
        <v>4</v>
      </c>
      <c r="F578" s="12">
        <v>20600</v>
      </c>
      <c r="G578" s="12">
        <v>20600</v>
      </c>
      <c r="H578" s="11" t="str">
        <f t="shared" si="22"/>
        <v>平成4年12月5日</v>
      </c>
      <c r="I578" s="22">
        <f t="shared" si="21"/>
        <v>33943</v>
      </c>
      <c r="J578" s="1" t="str">
        <f>"00739863"</f>
        <v>00739863</v>
      </c>
      <c r="K578" s="1" t="str">
        <f>"４２７　　　　　　　　　　　　　　　　　"</f>
        <v>４２７　　　　　　　　　　　　　　　　　</v>
      </c>
      <c r="L578" s="1"/>
    </row>
    <row r="579" spans="1:12" ht="18" customHeight="1" x14ac:dyDescent="0.15">
      <c r="A579" s="11">
        <v>1736</v>
      </c>
      <c r="B579" s="11" t="s">
        <v>53</v>
      </c>
      <c r="C579" s="11" t="s">
        <v>156</v>
      </c>
      <c r="D579" s="11">
        <v>1</v>
      </c>
      <c r="E579" s="11" t="s">
        <v>4</v>
      </c>
      <c r="F579" s="12">
        <v>20600</v>
      </c>
      <c r="G579" s="12">
        <v>20600</v>
      </c>
      <c r="H579" s="11" t="str">
        <f t="shared" si="22"/>
        <v>平成4年12月5日</v>
      </c>
      <c r="I579" s="22">
        <f t="shared" si="21"/>
        <v>33943</v>
      </c>
      <c r="J579" s="1" t="str">
        <f>"00739865"</f>
        <v>00739865</v>
      </c>
      <c r="K579" s="1" t="str">
        <f>"４２８　　　　　　　　　　　　　　　　　"</f>
        <v>４２８　　　　　　　　　　　　　　　　　</v>
      </c>
      <c r="L579" s="1"/>
    </row>
    <row r="580" spans="1:12" ht="18" customHeight="1" x14ac:dyDescent="0.15">
      <c r="A580" s="11">
        <v>1737</v>
      </c>
      <c r="B580" s="11" t="s">
        <v>53</v>
      </c>
      <c r="C580" s="11" t="s">
        <v>156</v>
      </c>
      <c r="D580" s="11">
        <v>1</v>
      </c>
      <c r="E580" s="11" t="s">
        <v>4</v>
      </c>
      <c r="F580" s="12">
        <v>20600</v>
      </c>
      <c r="G580" s="12">
        <v>20600</v>
      </c>
      <c r="H580" s="11" t="str">
        <f t="shared" si="22"/>
        <v>平成4年12月5日</v>
      </c>
      <c r="I580" s="22">
        <f t="shared" si="21"/>
        <v>33943</v>
      </c>
      <c r="J580" s="1" t="str">
        <f>"00739867"</f>
        <v>00739867</v>
      </c>
      <c r="K580" s="1" t="str">
        <f>"４３０　　　　　　　　　　　　　　　　　"</f>
        <v>４３０　　　　　　　　　　　　　　　　　</v>
      </c>
      <c r="L580" s="1"/>
    </row>
    <row r="581" spans="1:12" ht="18" customHeight="1" x14ac:dyDescent="0.15">
      <c r="A581" s="11">
        <v>1738</v>
      </c>
      <c r="B581" s="11" t="s">
        <v>53</v>
      </c>
      <c r="C581" s="11" t="s">
        <v>156</v>
      </c>
      <c r="D581" s="11">
        <v>1</v>
      </c>
      <c r="E581" s="11" t="s">
        <v>4</v>
      </c>
      <c r="F581" s="12">
        <v>20600</v>
      </c>
      <c r="G581" s="12">
        <v>20600</v>
      </c>
      <c r="H581" s="11" t="str">
        <f t="shared" si="22"/>
        <v>平成4年12月5日</v>
      </c>
      <c r="I581" s="22">
        <f t="shared" si="21"/>
        <v>33943</v>
      </c>
      <c r="J581" s="1" t="str">
        <f>"00739869"</f>
        <v>00739869</v>
      </c>
      <c r="K581" s="1" t="str">
        <f>"４３１　　　　　　　　　　　　　　　　　"</f>
        <v>４３１　　　　　　　　　　　　　　　　　</v>
      </c>
      <c r="L581" s="1"/>
    </row>
    <row r="582" spans="1:12" ht="18" customHeight="1" x14ac:dyDescent="0.15">
      <c r="A582" s="11">
        <v>1739</v>
      </c>
      <c r="B582" s="11" t="s">
        <v>53</v>
      </c>
      <c r="C582" s="11" t="s">
        <v>156</v>
      </c>
      <c r="D582" s="11">
        <v>1</v>
      </c>
      <c r="E582" s="11" t="s">
        <v>4</v>
      </c>
      <c r="F582" s="12">
        <v>20600</v>
      </c>
      <c r="G582" s="12">
        <v>20600</v>
      </c>
      <c r="H582" s="11" t="str">
        <f t="shared" si="22"/>
        <v>平成4年12月5日</v>
      </c>
      <c r="I582" s="22">
        <f t="shared" si="21"/>
        <v>33943</v>
      </c>
      <c r="J582" s="1" t="str">
        <f>"00739871"</f>
        <v>00739871</v>
      </c>
      <c r="K582" s="1" t="str">
        <f>"４３２　　　　　　　　　　　　　　　　　"</f>
        <v>４３２　　　　　　　　　　　　　　　　　</v>
      </c>
      <c r="L582" s="1"/>
    </row>
    <row r="583" spans="1:12" ht="18" customHeight="1" x14ac:dyDescent="0.15">
      <c r="A583" s="11">
        <v>1740</v>
      </c>
      <c r="B583" s="11" t="s">
        <v>53</v>
      </c>
      <c r="C583" s="11" t="s">
        <v>156</v>
      </c>
      <c r="D583" s="11">
        <v>1</v>
      </c>
      <c r="E583" s="11" t="s">
        <v>4</v>
      </c>
      <c r="F583" s="12">
        <v>20600</v>
      </c>
      <c r="G583" s="12">
        <v>20600</v>
      </c>
      <c r="H583" s="11" t="str">
        <f t="shared" si="22"/>
        <v>平成4年12月5日</v>
      </c>
      <c r="I583" s="22">
        <f t="shared" si="21"/>
        <v>33943</v>
      </c>
      <c r="J583" s="1" t="str">
        <f>"00739873"</f>
        <v>00739873</v>
      </c>
      <c r="K583" s="1" t="str">
        <f>"４３３　　　　　　　　　　　　　　　　　"</f>
        <v>４３３　　　　　　　　　　　　　　　　　</v>
      </c>
      <c r="L583" s="1"/>
    </row>
    <row r="584" spans="1:12" ht="18" customHeight="1" x14ac:dyDescent="0.15">
      <c r="A584" s="11">
        <v>1741</v>
      </c>
      <c r="B584" s="11" t="s">
        <v>53</v>
      </c>
      <c r="C584" s="11" t="s">
        <v>156</v>
      </c>
      <c r="D584" s="11">
        <v>1</v>
      </c>
      <c r="E584" s="11" t="s">
        <v>4</v>
      </c>
      <c r="F584" s="12">
        <v>20600</v>
      </c>
      <c r="G584" s="12">
        <v>20600</v>
      </c>
      <c r="H584" s="11" t="str">
        <f t="shared" si="22"/>
        <v>平成4年12月5日</v>
      </c>
      <c r="I584" s="22">
        <f t="shared" si="21"/>
        <v>33943</v>
      </c>
      <c r="J584" s="1" t="str">
        <f>"00739875"</f>
        <v>00739875</v>
      </c>
      <c r="K584" s="1" t="str">
        <f>"４３４　　　　　　　　　　　　　　　　　"</f>
        <v>４３４　　　　　　　　　　　　　　　　　</v>
      </c>
      <c r="L584" s="1"/>
    </row>
    <row r="585" spans="1:12" ht="18" customHeight="1" x14ac:dyDescent="0.15">
      <c r="A585" s="11">
        <v>1742</v>
      </c>
      <c r="B585" s="11" t="s">
        <v>53</v>
      </c>
      <c r="C585" s="11" t="s">
        <v>156</v>
      </c>
      <c r="D585" s="11">
        <v>1</v>
      </c>
      <c r="E585" s="11" t="s">
        <v>4</v>
      </c>
      <c r="F585" s="12">
        <v>20600</v>
      </c>
      <c r="G585" s="12">
        <v>20600</v>
      </c>
      <c r="H585" s="11" t="str">
        <f t="shared" si="22"/>
        <v>平成4年12月5日</v>
      </c>
      <c r="I585" s="22">
        <f t="shared" si="21"/>
        <v>33943</v>
      </c>
      <c r="J585" s="1" t="str">
        <f>"00739877"</f>
        <v>00739877</v>
      </c>
      <c r="K585" s="1" t="str">
        <f>"４３５　　　　　　　　　　　　　　　　　"</f>
        <v>４３５　　　　　　　　　　　　　　　　　</v>
      </c>
      <c r="L585" s="1"/>
    </row>
    <row r="586" spans="1:12" ht="18" customHeight="1" x14ac:dyDescent="0.15">
      <c r="A586" s="11">
        <v>1743</v>
      </c>
      <c r="B586" s="11" t="s">
        <v>53</v>
      </c>
      <c r="C586" s="11" t="s">
        <v>156</v>
      </c>
      <c r="D586" s="11">
        <v>1</v>
      </c>
      <c r="E586" s="11" t="s">
        <v>4</v>
      </c>
      <c r="F586" s="12">
        <v>20600</v>
      </c>
      <c r="G586" s="12">
        <v>20600</v>
      </c>
      <c r="H586" s="11" t="str">
        <f t="shared" si="22"/>
        <v>平成4年12月5日</v>
      </c>
      <c r="I586" s="22">
        <f t="shared" si="21"/>
        <v>33943</v>
      </c>
      <c r="J586" s="1" t="str">
        <f>"00739879"</f>
        <v>00739879</v>
      </c>
      <c r="K586" s="1" t="str">
        <f>"４３６　　　　　　　　　　　　　　　　　"</f>
        <v>４３６　　　　　　　　　　　　　　　　　</v>
      </c>
      <c r="L586" s="1"/>
    </row>
    <row r="587" spans="1:12" ht="18" customHeight="1" x14ac:dyDescent="0.15">
      <c r="A587" s="11">
        <v>1744</v>
      </c>
      <c r="B587" s="11" t="s">
        <v>53</v>
      </c>
      <c r="C587" s="11" t="s">
        <v>156</v>
      </c>
      <c r="D587" s="11">
        <v>1</v>
      </c>
      <c r="E587" s="11" t="s">
        <v>4</v>
      </c>
      <c r="F587" s="12">
        <v>20600</v>
      </c>
      <c r="G587" s="12">
        <v>20600</v>
      </c>
      <c r="H587" s="11" t="str">
        <f t="shared" si="22"/>
        <v>平成4年12月5日</v>
      </c>
      <c r="I587" s="22">
        <f t="shared" si="21"/>
        <v>33943</v>
      </c>
      <c r="J587" s="1" t="str">
        <f>"00739881"</f>
        <v>00739881</v>
      </c>
      <c r="K587" s="1" t="str">
        <f>"４３９　　　　　　　　　　　　　　　　　"</f>
        <v>４３９　　　　　　　　　　　　　　　　　</v>
      </c>
      <c r="L587" s="1"/>
    </row>
    <row r="588" spans="1:12" ht="18" customHeight="1" x14ac:dyDescent="0.15">
      <c r="A588" s="11">
        <v>1745</v>
      </c>
      <c r="B588" s="11" t="s">
        <v>53</v>
      </c>
      <c r="C588" s="11" t="s">
        <v>156</v>
      </c>
      <c r="D588" s="11">
        <v>1</v>
      </c>
      <c r="E588" s="11" t="s">
        <v>4</v>
      </c>
      <c r="F588" s="12">
        <v>20600</v>
      </c>
      <c r="G588" s="12">
        <v>20600</v>
      </c>
      <c r="H588" s="11" t="str">
        <f t="shared" si="22"/>
        <v>平成4年12月5日</v>
      </c>
      <c r="I588" s="22">
        <f t="shared" si="21"/>
        <v>33943</v>
      </c>
      <c r="J588" s="1" t="str">
        <f>"00739883"</f>
        <v>00739883</v>
      </c>
      <c r="K588" s="1" t="str">
        <f>"４４０　　　　　　　　　　　　　　　　　"</f>
        <v>４４０　　　　　　　　　　　　　　　　　</v>
      </c>
      <c r="L588" s="1"/>
    </row>
    <row r="589" spans="1:12" ht="18" customHeight="1" x14ac:dyDescent="0.15">
      <c r="A589" s="11">
        <v>1746</v>
      </c>
      <c r="B589" s="11" t="s">
        <v>53</v>
      </c>
      <c r="C589" s="11" t="s">
        <v>156</v>
      </c>
      <c r="D589" s="11">
        <v>1</v>
      </c>
      <c r="E589" s="11" t="s">
        <v>4</v>
      </c>
      <c r="F589" s="12">
        <v>20600</v>
      </c>
      <c r="G589" s="12">
        <v>20600</v>
      </c>
      <c r="H589" s="11" t="str">
        <f t="shared" si="22"/>
        <v>平成4年12月5日</v>
      </c>
      <c r="I589" s="22">
        <f t="shared" si="21"/>
        <v>33943</v>
      </c>
      <c r="J589" s="1" t="str">
        <f>"00739885"</f>
        <v>00739885</v>
      </c>
      <c r="K589" s="1" t="str">
        <f>"４４２　　　　　　　　　　　　　　　　　"</f>
        <v>４４２　　　　　　　　　　　　　　　　　</v>
      </c>
      <c r="L589" s="1"/>
    </row>
    <row r="590" spans="1:12" ht="18" customHeight="1" x14ac:dyDescent="0.15">
      <c r="A590" s="11">
        <v>1747</v>
      </c>
      <c r="B590" s="11" t="s">
        <v>53</v>
      </c>
      <c r="C590" s="11" t="s">
        <v>156</v>
      </c>
      <c r="D590" s="11">
        <v>1</v>
      </c>
      <c r="E590" s="11" t="s">
        <v>4</v>
      </c>
      <c r="F590" s="12">
        <v>20600</v>
      </c>
      <c r="G590" s="12">
        <v>20600</v>
      </c>
      <c r="H590" s="11" t="str">
        <f t="shared" si="22"/>
        <v>平成4年12月5日</v>
      </c>
      <c r="I590" s="22">
        <f t="shared" si="21"/>
        <v>33943</v>
      </c>
      <c r="J590" s="1" t="str">
        <f>"00739887"</f>
        <v>00739887</v>
      </c>
      <c r="K590" s="1" t="str">
        <f>"４４４　　　　　　　　　　　　　　　　　"</f>
        <v>４４４　　　　　　　　　　　　　　　　　</v>
      </c>
      <c r="L590" s="1"/>
    </row>
    <row r="591" spans="1:12" ht="18" customHeight="1" x14ac:dyDescent="0.15">
      <c r="A591" s="11">
        <v>1748</v>
      </c>
      <c r="B591" s="11" t="s">
        <v>53</v>
      </c>
      <c r="C591" s="11" t="s">
        <v>156</v>
      </c>
      <c r="D591" s="11">
        <v>1</v>
      </c>
      <c r="E591" s="11" t="s">
        <v>4</v>
      </c>
      <c r="F591" s="12">
        <v>20600</v>
      </c>
      <c r="G591" s="12">
        <v>20600</v>
      </c>
      <c r="H591" s="11" t="str">
        <f t="shared" si="22"/>
        <v>平成4年12月5日</v>
      </c>
      <c r="I591" s="22">
        <f t="shared" si="21"/>
        <v>33943</v>
      </c>
      <c r="J591" s="1" t="str">
        <f>"00739889"</f>
        <v>00739889</v>
      </c>
      <c r="K591" s="1" t="str">
        <f>"４４６　　　　　　　　　　　　　　　　　"</f>
        <v>４４６　　　　　　　　　　　　　　　　　</v>
      </c>
      <c r="L591" s="1"/>
    </row>
    <row r="592" spans="1:12" ht="18" customHeight="1" x14ac:dyDescent="0.15">
      <c r="A592" s="11">
        <v>1749</v>
      </c>
      <c r="B592" s="11" t="s">
        <v>53</v>
      </c>
      <c r="C592" s="11" t="s">
        <v>156</v>
      </c>
      <c r="D592" s="11">
        <v>1</v>
      </c>
      <c r="E592" s="11" t="s">
        <v>4</v>
      </c>
      <c r="F592" s="12">
        <v>20600</v>
      </c>
      <c r="G592" s="12">
        <v>20600</v>
      </c>
      <c r="H592" s="11" t="str">
        <f t="shared" si="22"/>
        <v>平成4年12月5日</v>
      </c>
      <c r="I592" s="22">
        <f t="shared" si="21"/>
        <v>33943</v>
      </c>
      <c r="J592" s="1" t="str">
        <f>"00739891"</f>
        <v>00739891</v>
      </c>
      <c r="K592" s="1" t="str">
        <f>"４４７　　　　　　　　　　　　　　　　　"</f>
        <v>４４７　　　　　　　　　　　　　　　　　</v>
      </c>
      <c r="L592" s="1"/>
    </row>
    <row r="593" spans="1:12" ht="18" customHeight="1" x14ac:dyDescent="0.15">
      <c r="A593" s="11">
        <v>1750</v>
      </c>
      <c r="B593" s="11" t="s">
        <v>53</v>
      </c>
      <c r="C593" s="11" t="s">
        <v>156</v>
      </c>
      <c r="D593" s="11">
        <v>1</v>
      </c>
      <c r="E593" s="11" t="s">
        <v>4</v>
      </c>
      <c r="F593" s="12">
        <v>20600</v>
      </c>
      <c r="G593" s="12">
        <v>20600</v>
      </c>
      <c r="H593" s="11" t="str">
        <f t="shared" si="22"/>
        <v>平成4年12月5日</v>
      </c>
      <c r="I593" s="22">
        <f t="shared" si="21"/>
        <v>33943</v>
      </c>
      <c r="J593" s="1" t="str">
        <f>"00739893"</f>
        <v>00739893</v>
      </c>
      <c r="K593" s="1" t="str">
        <f>"４４８　　　　　　　　　　　　　　　　　"</f>
        <v>４４８　　　　　　　　　　　　　　　　　</v>
      </c>
      <c r="L593" s="1"/>
    </row>
    <row r="594" spans="1:12" ht="18" customHeight="1" x14ac:dyDescent="0.15">
      <c r="A594" s="11">
        <v>1751</v>
      </c>
      <c r="B594" s="11" t="s">
        <v>53</v>
      </c>
      <c r="C594" s="11" t="s">
        <v>156</v>
      </c>
      <c r="D594" s="11">
        <v>1</v>
      </c>
      <c r="E594" s="11" t="s">
        <v>4</v>
      </c>
      <c r="F594" s="12">
        <v>20600</v>
      </c>
      <c r="G594" s="12">
        <v>20600</v>
      </c>
      <c r="H594" s="11" t="str">
        <f t="shared" si="22"/>
        <v>平成4年12月5日</v>
      </c>
      <c r="I594" s="22">
        <f t="shared" ref="I594:I657" si="23">DATEVALUE(H594)</f>
        <v>33943</v>
      </c>
      <c r="J594" s="1" t="str">
        <f>"00739895"</f>
        <v>00739895</v>
      </c>
      <c r="K594" s="1" t="str">
        <f>"４４９　　　　　　　　　　　　　　　　　"</f>
        <v>４４９　　　　　　　　　　　　　　　　　</v>
      </c>
      <c r="L594" s="1"/>
    </row>
    <row r="595" spans="1:12" ht="18" customHeight="1" x14ac:dyDescent="0.15">
      <c r="A595" s="11">
        <v>1752</v>
      </c>
      <c r="B595" s="11" t="s">
        <v>53</v>
      </c>
      <c r="C595" s="11" t="s">
        <v>156</v>
      </c>
      <c r="D595" s="11">
        <v>1</v>
      </c>
      <c r="E595" s="11" t="s">
        <v>4</v>
      </c>
      <c r="F595" s="12">
        <v>20600</v>
      </c>
      <c r="G595" s="12">
        <v>20600</v>
      </c>
      <c r="H595" s="11" t="str">
        <f t="shared" si="22"/>
        <v>平成4年12月5日</v>
      </c>
      <c r="I595" s="22">
        <f t="shared" si="23"/>
        <v>33943</v>
      </c>
      <c r="J595" s="1" t="str">
        <f>"00739897"</f>
        <v>00739897</v>
      </c>
      <c r="K595" s="1" t="str">
        <f>"４５０　　　　　　　　　　　　　　　　　"</f>
        <v>４５０　　　　　　　　　　　　　　　　　</v>
      </c>
      <c r="L595" s="1"/>
    </row>
    <row r="596" spans="1:12" ht="18" customHeight="1" x14ac:dyDescent="0.15">
      <c r="A596" s="11">
        <v>1753</v>
      </c>
      <c r="B596" s="11" t="s">
        <v>53</v>
      </c>
      <c r="C596" s="11" t="s">
        <v>156</v>
      </c>
      <c r="D596" s="11">
        <v>1</v>
      </c>
      <c r="E596" s="11" t="s">
        <v>4</v>
      </c>
      <c r="F596" s="12">
        <v>20600</v>
      </c>
      <c r="G596" s="12">
        <v>20600</v>
      </c>
      <c r="H596" s="11" t="str">
        <f t="shared" si="22"/>
        <v>平成4年12月5日</v>
      </c>
      <c r="I596" s="22">
        <f t="shared" si="23"/>
        <v>33943</v>
      </c>
      <c r="J596" s="1" t="str">
        <f>"00739899"</f>
        <v>00739899</v>
      </c>
      <c r="K596" s="1" t="str">
        <f>"４５１　　　　　　　　　　　　　　　　　"</f>
        <v>４５１　　　　　　　　　　　　　　　　　</v>
      </c>
      <c r="L596" s="1"/>
    </row>
    <row r="597" spans="1:12" ht="18" customHeight="1" x14ac:dyDescent="0.15">
      <c r="A597" s="11">
        <v>1754</v>
      </c>
      <c r="B597" s="11" t="s">
        <v>53</v>
      </c>
      <c r="C597" s="11" t="s">
        <v>156</v>
      </c>
      <c r="D597" s="11">
        <v>1</v>
      </c>
      <c r="E597" s="11" t="s">
        <v>4</v>
      </c>
      <c r="F597" s="12">
        <v>20600</v>
      </c>
      <c r="G597" s="12">
        <v>20600</v>
      </c>
      <c r="H597" s="11" t="str">
        <f t="shared" si="22"/>
        <v>平成4年12月5日</v>
      </c>
      <c r="I597" s="22">
        <f t="shared" si="23"/>
        <v>33943</v>
      </c>
      <c r="J597" s="1" t="str">
        <f>"00739901"</f>
        <v>00739901</v>
      </c>
      <c r="K597" s="1" t="str">
        <f>"４５２　　　　　　　　　　　　　　　　　"</f>
        <v>４５２　　　　　　　　　　　　　　　　　</v>
      </c>
      <c r="L597" s="1"/>
    </row>
    <row r="598" spans="1:12" ht="18" customHeight="1" x14ac:dyDescent="0.15">
      <c r="A598" s="11">
        <v>1755</v>
      </c>
      <c r="B598" s="11" t="s">
        <v>53</v>
      </c>
      <c r="C598" s="11" t="s">
        <v>156</v>
      </c>
      <c r="D598" s="11">
        <v>1</v>
      </c>
      <c r="E598" s="11" t="s">
        <v>4</v>
      </c>
      <c r="F598" s="12">
        <v>20600</v>
      </c>
      <c r="G598" s="12">
        <v>20600</v>
      </c>
      <c r="H598" s="11" t="str">
        <f t="shared" si="22"/>
        <v>平成4年12月5日</v>
      </c>
      <c r="I598" s="22">
        <f t="shared" si="23"/>
        <v>33943</v>
      </c>
      <c r="J598" s="1" t="str">
        <f>"00739903"</f>
        <v>00739903</v>
      </c>
      <c r="K598" s="1" t="str">
        <f>"４５３　　　　　　　　　　　　　　　　　"</f>
        <v>４５３　　　　　　　　　　　　　　　　　</v>
      </c>
      <c r="L598" s="1"/>
    </row>
    <row r="599" spans="1:12" ht="18" customHeight="1" x14ac:dyDescent="0.15">
      <c r="A599" s="11">
        <v>1756</v>
      </c>
      <c r="B599" s="11" t="s">
        <v>53</v>
      </c>
      <c r="C599" s="11" t="s">
        <v>156</v>
      </c>
      <c r="D599" s="11">
        <v>1</v>
      </c>
      <c r="E599" s="11" t="s">
        <v>4</v>
      </c>
      <c r="F599" s="12">
        <v>20600</v>
      </c>
      <c r="G599" s="12">
        <v>20600</v>
      </c>
      <c r="H599" s="11" t="str">
        <f t="shared" si="22"/>
        <v>平成4年12月5日</v>
      </c>
      <c r="I599" s="22">
        <f t="shared" si="23"/>
        <v>33943</v>
      </c>
      <c r="J599" s="1" t="str">
        <f>"00739905"</f>
        <v>00739905</v>
      </c>
      <c r="K599" s="1" t="str">
        <f>"４５４　　　　　　　　　　　　　　　　　"</f>
        <v>４５４　　　　　　　　　　　　　　　　　</v>
      </c>
      <c r="L599" s="1"/>
    </row>
    <row r="600" spans="1:12" ht="18" customHeight="1" x14ac:dyDescent="0.15">
      <c r="A600" s="11">
        <v>1757</v>
      </c>
      <c r="B600" s="11" t="s">
        <v>53</v>
      </c>
      <c r="C600" s="11" t="s">
        <v>156</v>
      </c>
      <c r="D600" s="11">
        <v>1</v>
      </c>
      <c r="E600" s="11" t="s">
        <v>4</v>
      </c>
      <c r="F600" s="12">
        <v>20600</v>
      </c>
      <c r="G600" s="12">
        <v>20600</v>
      </c>
      <c r="H600" s="11" t="str">
        <f t="shared" si="22"/>
        <v>平成4年12月5日</v>
      </c>
      <c r="I600" s="22">
        <f t="shared" si="23"/>
        <v>33943</v>
      </c>
      <c r="J600" s="1" t="str">
        <f>"00739907"</f>
        <v>00739907</v>
      </c>
      <c r="K600" s="1" t="str">
        <f>"４５７　　　　　　　　　　　　　　　　　"</f>
        <v>４５７　　　　　　　　　　　　　　　　　</v>
      </c>
      <c r="L600" s="1"/>
    </row>
    <row r="601" spans="1:12" ht="18" customHeight="1" x14ac:dyDescent="0.15">
      <c r="A601" s="11">
        <v>1758</v>
      </c>
      <c r="B601" s="11" t="s">
        <v>53</v>
      </c>
      <c r="C601" s="11" t="s">
        <v>156</v>
      </c>
      <c r="D601" s="11">
        <v>1</v>
      </c>
      <c r="E601" s="11" t="s">
        <v>4</v>
      </c>
      <c r="F601" s="12">
        <v>20600</v>
      </c>
      <c r="G601" s="12">
        <v>20600</v>
      </c>
      <c r="H601" s="11" t="str">
        <f t="shared" si="22"/>
        <v>平成4年12月5日</v>
      </c>
      <c r="I601" s="22">
        <f t="shared" si="23"/>
        <v>33943</v>
      </c>
      <c r="J601" s="1" t="str">
        <f>"00739909"</f>
        <v>00739909</v>
      </c>
      <c r="K601" s="1" t="str">
        <f>"４５８　　　　　　　　　　　　　　　　　"</f>
        <v>４５８　　　　　　　　　　　　　　　　　</v>
      </c>
      <c r="L601" s="1"/>
    </row>
    <row r="602" spans="1:12" ht="18" customHeight="1" x14ac:dyDescent="0.15">
      <c r="A602" s="11">
        <v>1759</v>
      </c>
      <c r="B602" s="11" t="s">
        <v>53</v>
      </c>
      <c r="C602" s="11" t="s">
        <v>156</v>
      </c>
      <c r="D602" s="11">
        <v>1</v>
      </c>
      <c r="E602" s="11" t="s">
        <v>4</v>
      </c>
      <c r="F602" s="12">
        <v>20600</v>
      </c>
      <c r="G602" s="12">
        <v>20600</v>
      </c>
      <c r="H602" s="11" t="str">
        <f t="shared" si="22"/>
        <v>平成4年12月5日</v>
      </c>
      <c r="I602" s="22">
        <f t="shared" si="23"/>
        <v>33943</v>
      </c>
      <c r="J602" s="1" t="str">
        <f>"00739911"</f>
        <v>00739911</v>
      </c>
      <c r="K602" s="1" t="str">
        <f>"４６０　　　　　　　　　　　　　　　　　"</f>
        <v>４６０　　　　　　　　　　　　　　　　　</v>
      </c>
      <c r="L602" s="1"/>
    </row>
    <row r="603" spans="1:12" ht="18" customHeight="1" x14ac:dyDescent="0.15">
      <c r="A603" s="11">
        <v>1760</v>
      </c>
      <c r="B603" s="11" t="s">
        <v>53</v>
      </c>
      <c r="C603" s="11" t="s">
        <v>156</v>
      </c>
      <c r="D603" s="11">
        <v>1</v>
      </c>
      <c r="E603" s="11" t="s">
        <v>4</v>
      </c>
      <c r="F603" s="12">
        <v>20600</v>
      </c>
      <c r="G603" s="12">
        <v>20600</v>
      </c>
      <c r="H603" s="11" t="str">
        <f t="shared" si="22"/>
        <v>平成4年12月5日</v>
      </c>
      <c r="I603" s="22">
        <f t="shared" si="23"/>
        <v>33943</v>
      </c>
      <c r="J603" s="1" t="str">
        <f>"00739913"</f>
        <v>00739913</v>
      </c>
      <c r="K603" s="1" t="str">
        <f>"４６１　　　　　　　　　　　　　　　　　"</f>
        <v>４６１　　　　　　　　　　　　　　　　　</v>
      </c>
      <c r="L603" s="1"/>
    </row>
    <row r="604" spans="1:12" ht="18" customHeight="1" x14ac:dyDescent="0.15">
      <c r="A604" s="11">
        <v>1761</v>
      </c>
      <c r="B604" s="11" t="s">
        <v>53</v>
      </c>
      <c r="C604" s="11" t="s">
        <v>156</v>
      </c>
      <c r="D604" s="11">
        <v>1</v>
      </c>
      <c r="E604" s="11" t="s">
        <v>4</v>
      </c>
      <c r="F604" s="12">
        <v>20600</v>
      </c>
      <c r="G604" s="12">
        <v>20600</v>
      </c>
      <c r="H604" s="11" t="str">
        <f t="shared" si="22"/>
        <v>平成4年12月5日</v>
      </c>
      <c r="I604" s="22">
        <f t="shared" si="23"/>
        <v>33943</v>
      </c>
      <c r="J604" s="1" t="str">
        <f>"00739914"</f>
        <v>00739914</v>
      </c>
      <c r="K604" s="1" t="str">
        <f>"４６３　　　　　　　　　　　　　　　　　"</f>
        <v>４６３　　　　　　　　　　　　　　　　　</v>
      </c>
      <c r="L604" s="1"/>
    </row>
    <row r="605" spans="1:12" ht="18" customHeight="1" x14ac:dyDescent="0.15">
      <c r="A605" s="11">
        <v>1762</v>
      </c>
      <c r="B605" s="11" t="s">
        <v>53</v>
      </c>
      <c r="C605" s="11" t="s">
        <v>156</v>
      </c>
      <c r="D605" s="11">
        <v>1</v>
      </c>
      <c r="E605" s="11" t="s">
        <v>4</v>
      </c>
      <c r="F605" s="12">
        <v>20600</v>
      </c>
      <c r="G605" s="12">
        <v>20600</v>
      </c>
      <c r="H605" s="11" t="str">
        <f t="shared" si="22"/>
        <v>平成4年12月5日</v>
      </c>
      <c r="I605" s="22">
        <f t="shared" si="23"/>
        <v>33943</v>
      </c>
      <c r="J605" s="1" t="str">
        <f>"00739917"</f>
        <v>00739917</v>
      </c>
      <c r="K605" s="1" t="str">
        <f>"４６４　　　　　　　　　　　　　　　　　"</f>
        <v>４６４　　　　　　　　　　　　　　　　　</v>
      </c>
      <c r="L605" s="1"/>
    </row>
    <row r="606" spans="1:12" ht="18" customHeight="1" x14ac:dyDescent="0.15">
      <c r="A606" s="11">
        <v>1763</v>
      </c>
      <c r="B606" s="11" t="s">
        <v>53</v>
      </c>
      <c r="C606" s="11" t="s">
        <v>156</v>
      </c>
      <c r="D606" s="11">
        <v>1</v>
      </c>
      <c r="E606" s="11" t="s">
        <v>4</v>
      </c>
      <c r="F606" s="12">
        <v>20600</v>
      </c>
      <c r="G606" s="12">
        <v>20600</v>
      </c>
      <c r="H606" s="11" t="str">
        <f t="shared" si="22"/>
        <v>平成4年12月5日</v>
      </c>
      <c r="I606" s="22">
        <f t="shared" si="23"/>
        <v>33943</v>
      </c>
      <c r="J606" s="1" t="str">
        <f>"00739919"</f>
        <v>00739919</v>
      </c>
      <c r="K606" s="1" t="str">
        <f>"４６５　　　　　　　　　　　　　　　　　"</f>
        <v>４６５　　　　　　　　　　　　　　　　　</v>
      </c>
      <c r="L606" s="1"/>
    </row>
    <row r="607" spans="1:12" ht="18" customHeight="1" x14ac:dyDescent="0.15">
      <c r="A607" s="11">
        <v>1764</v>
      </c>
      <c r="B607" s="11" t="s">
        <v>53</v>
      </c>
      <c r="C607" s="11" t="s">
        <v>156</v>
      </c>
      <c r="D607" s="11">
        <v>1</v>
      </c>
      <c r="E607" s="11" t="s">
        <v>4</v>
      </c>
      <c r="F607" s="12">
        <v>20600</v>
      </c>
      <c r="G607" s="12">
        <v>20600</v>
      </c>
      <c r="H607" s="11" t="str">
        <f t="shared" si="22"/>
        <v>平成4年12月5日</v>
      </c>
      <c r="I607" s="22">
        <f t="shared" si="23"/>
        <v>33943</v>
      </c>
      <c r="J607" s="1" t="str">
        <f>"00739920"</f>
        <v>00739920</v>
      </c>
      <c r="K607" s="1" t="str">
        <f>"４６６　　　　　　　　　　　　　　　　　"</f>
        <v>４６６　　　　　　　　　　　　　　　　　</v>
      </c>
      <c r="L607" s="1"/>
    </row>
    <row r="608" spans="1:12" ht="18" customHeight="1" x14ac:dyDescent="0.15">
      <c r="A608" s="11">
        <v>1765</v>
      </c>
      <c r="B608" s="11" t="s">
        <v>53</v>
      </c>
      <c r="C608" s="11" t="s">
        <v>156</v>
      </c>
      <c r="D608" s="11">
        <v>1</v>
      </c>
      <c r="E608" s="11" t="s">
        <v>4</v>
      </c>
      <c r="F608" s="12">
        <v>20600</v>
      </c>
      <c r="G608" s="12">
        <v>20600</v>
      </c>
      <c r="H608" s="11" t="str">
        <f t="shared" si="22"/>
        <v>平成4年12月5日</v>
      </c>
      <c r="I608" s="22">
        <f t="shared" si="23"/>
        <v>33943</v>
      </c>
      <c r="J608" s="1" t="str">
        <f>"00739923"</f>
        <v>00739923</v>
      </c>
      <c r="K608" s="1" t="str">
        <f>"４６７　　　　　　　　　　　　　　　　　"</f>
        <v>４６７　　　　　　　　　　　　　　　　　</v>
      </c>
      <c r="L608" s="1"/>
    </row>
    <row r="609" spans="1:12" ht="18" customHeight="1" x14ac:dyDescent="0.15">
      <c r="A609" s="11">
        <v>1766</v>
      </c>
      <c r="B609" s="11" t="s">
        <v>53</v>
      </c>
      <c r="C609" s="11" t="s">
        <v>156</v>
      </c>
      <c r="D609" s="11">
        <v>1</v>
      </c>
      <c r="E609" s="11" t="s">
        <v>4</v>
      </c>
      <c r="F609" s="12">
        <v>20600</v>
      </c>
      <c r="G609" s="12">
        <v>20600</v>
      </c>
      <c r="H609" s="11" t="str">
        <f t="shared" si="22"/>
        <v>平成4年12月5日</v>
      </c>
      <c r="I609" s="22">
        <f t="shared" si="23"/>
        <v>33943</v>
      </c>
      <c r="J609" s="1" t="str">
        <f>"00739924"</f>
        <v>00739924</v>
      </c>
      <c r="K609" s="1" t="str">
        <f>"４６８　　　　　　　　　　　　　　　　　"</f>
        <v>４６８　　　　　　　　　　　　　　　　　</v>
      </c>
      <c r="L609" s="1"/>
    </row>
    <row r="610" spans="1:12" ht="18" customHeight="1" x14ac:dyDescent="0.15">
      <c r="A610" s="11">
        <v>1767</v>
      </c>
      <c r="B610" s="11" t="s">
        <v>53</v>
      </c>
      <c r="C610" s="11" t="s">
        <v>156</v>
      </c>
      <c r="D610" s="11">
        <v>1</v>
      </c>
      <c r="E610" s="11" t="s">
        <v>4</v>
      </c>
      <c r="F610" s="12">
        <v>20600</v>
      </c>
      <c r="G610" s="12">
        <v>20600</v>
      </c>
      <c r="H610" s="11" t="str">
        <f t="shared" si="22"/>
        <v>平成4年12月5日</v>
      </c>
      <c r="I610" s="22">
        <f t="shared" si="23"/>
        <v>33943</v>
      </c>
      <c r="J610" s="1" t="str">
        <f>"00739926"</f>
        <v>00739926</v>
      </c>
      <c r="K610" s="1" t="str">
        <f>"４６９　　　　　　　　　　　　　　　　　"</f>
        <v>４６９　　　　　　　　　　　　　　　　　</v>
      </c>
      <c r="L610" s="1"/>
    </row>
    <row r="611" spans="1:12" ht="18" customHeight="1" x14ac:dyDescent="0.15">
      <c r="A611" s="11">
        <v>1768</v>
      </c>
      <c r="B611" s="11" t="s">
        <v>53</v>
      </c>
      <c r="C611" s="11" t="s">
        <v>156</v>
      </c>
      <c r="D611" s="11">
        <v>1</v>
      </c>
      <c r="E611" s="11" t="s">
        <v>4</v>
      </c>
      <c r="F611" s="12">
        <v>20600</v>
      </c>
      <c r="G611" s="12">
        <v>20600</v>
      </c>
      <c r="H611" s="11" t="str">
        <f t="shared" si="22"/>
        <v>平成4年12月5日</v>
      </c>
      <c r="I611" s="22">
        <f t="shared" si="23"/>
        <v>33943</v>
      </c>
      <c r="J611" s="1" t="str">
        <f>"00739929"</f>
        <v>00739929</v>
      </c>
      <c r="K611" s="1" t="str">
        <f>"４７０　　　　　　　　　　　　　　　　　"</f>
        <v>４７０　　　　　　　　　　　　　　　　　</v>
      </c>
      <c r="L611" s="1"/>
    </row>
    <row r="612" spans="1:12" ht="18" customHeight="1" x14ac:dyDescent="0.15">
      <c r="A612" s="11">
        <v>1769</v>
      </c>
      <c r="B612" s="11" t="s">
        <v>53</v>
      </c>
      <c r="C612" s="11" t="s">
        <v>156</v>
      </c>
      <c r="D612" s="11">
        <v>1</v>
      </c>
      <c r="E612" s="11" t="s">
        <v>4</v>
      </c>
      <c r="F612" s="12">
        <v>20600</v>
      </c>
      <c r="G612" s="12">
        <v>20600</v>
      </c>
      <c r="H612" s="11" t="str">
        <f t="shared" si="22"/>
        <v>平成4年12月5日</v>
      </c>
      <c r="I612" s="22">
        <f t="shared" si="23"/>
        <v>33943</v>
      </c>
      <c r="J612" s="1" t="str">
        <f>"00739930"</f>
        <v>00739930</v>
      </c>
      <c r="K612" s="1" t="str">
        <f>"４７１　　　　　　　　　　　　　　　　　"</f>
        <v>４７１　　　　　　　　　　　　　　　　　</v>
      </c>
      <c r="L612" s="1"/>
    </row>
    <row r="613" spans="1:12" ht="18" customHeight="1" x14ac:dyDescent="0.15">
      <c r="A613" s="11">
        <v>1770</v>
      </c>
      <c r="B613" s="11" t="s">
        <v>53</v>
      </c>
      <c r="C613" s="11" t="s">
        <v>156</v>
      </c>
      <c r="D613" s="11">
        <v>1</v>
      </c>
      <c r="E613" s="11" t="s">
        <v>4</v>
      </c>
      <c r="F613" s="12">
        <v>20600</v>
      </c>
      <c r="G613" s="12">
        <v>20600</v>
      </c>
      <c r="H613" s="11" t="str">
        <f t="shared" si="22"/>
        <v>平成4年12月5日</v>
      </c>
      <c r="I613" s="22">
        <f t="shared" si="23"/>
        <v>33943</v>
      </c>
      <c r="J613" s="1" t="str">
        <f>"00739933"</f>
        <v>00739933</v>
      </c>
      <c r="K613" s="1" t="str">
        <f>"４７２　　　　　　　　　　　　　　　　　"</f>
        <v>４７２　　　　　　　　　　　　　　　　　</v>
      </c>
      <c r="L613" s="1"/>
    </row>
    <row r="614" spans="1:12" ht="18" customHeight="1" x14ac:dyDescent="0.15">
      <c r="A614" s="11">
        <v>1771</v>
      </c>
      <c r="B614" s="11" t="s">
        <v>53</v>
      </c>
      <c r="C614" s="11" t="s">
        <v>156</v>
      </c>
      <c r="D614" s="11">
        <v>1</v>
      </c>
      <c r="E614" s="11" t="s">
        <v>4</v>
      </c>
      <c r="F614" s="12">
        <v>20600</v>
      </c>
      <c r="G614" s="12">
        <v>20600</v>
      </c>
      <c r="H614" s="11" t="str">
        <f t="shared" si="22"/>
        <v>平成4年12月5日</v>
      </c>
      <c r="I614" s="22">
        <f t="shared" si="23"/>
        <v>33943</v>
      </c>
      <c r="J614" s="1" t="str">
        <f>"00739934"</f>
        <v>00739934</v>
      </c>
      <c r="K614" s="1" t="str">
        <f>"４７３　　　　　　　　　　　　　　　　　"</f>
        <v>４７３　　　　　　　　　　　　　　　　　</v>
      </c>
      <c r="L614" s="1"/>
    </row>
    <row r="615" spans="1:12" ht="18" customHeight="1" x14ac:dyDescent="0.15">
      <c r="A615" s="11">
        <v>1772</v>
      </c>
      <c r="B615" s="11" t="s">
        <v>53</v>
      </c>
      <c r="C615" s="11" t="s">
        <v>156</v>
      </c>
      <c r="D615" s="11">
        <v>1</v>
      </c>
      <c r="E615" s="11" t="s">
        <v>4</v>
      </c>
      <c r="F615" s="12">
        <v>20600</v>
      </c>
      <c r="G615" s="12">
        <v>20600</v>
      </c>
      <c r="H615" s="11" t="str">
        <f t="shared" si="22"/>
        <v>平成4年12月5日</v>
      </c>
      <c r="I615" s="22">
        <f t="shared" si="23"/>
        <v>33943</v>
      </c>
      <c r="J615" s="1" t="str">
        <f>"00739936"</f>
        <v>00739936</v>
      </c>
      <c r="K615" s="1" t="str">
        <f>"４７４　　　　　　　　　　　　　　　　　"</f>
        <v>４７４　　　　　　　　　　　　　　　　　</v>
      </c>
      <c r="L615" s="1"/>
    </row>
    <row r="616" spans="1:12" ht="18" customHeight="1" x14ac:dyDescent="0.15">
      <c r="A616" s="11">
        <v>1773</v>
      </c>
      <c r="B616" s="11" t="s">
        <v>53</v>
      </c>
      <c r="C616" s="11" t="s">
        <v>156</v>
      </c>
      <c r="D616" s="11">
        <v>1</v>
      </c>
      <c r="E616" s="11" t="s">
        <v>4</v>
      </c>
      <c r="F616" s="12">
        <v>20600</v>
      </c>
      <c r="G616" s="12">
        <v>20600</v>
      </c>
      <c r="H616" s="11" t="str">
        <f t="shared" si="22"/>
        <v>平成4年12月5日</v>
      </c>
      <c r="I616" s="22">
        <f t="shared" si="23"/>
        <v>33943</v>
      </c>
      <c r="J616" s="1" t="str">
        <f>"00739939"</f>
        <v>00739939</v>
      </c>
      <c r="K616" s="1" t="str">
        <f>"４７５　　　　　　　　　　　　　　　　　"</f>
        <v>４７５　　　　　　　　　　　　　　　　　</v>
      </c>
      <c r="L616" s="1"/>
    </row>
    <row r="617" spans="1:12" ht="18" customHeight="1" x14ac:dyDescent="0.15">
      <c r="A617" s="11">
        <v>1774</v>
      </c>
      <c r="B617" s="11" t="s">
        <v>53</v>
      </c>
      <c r="C617" s="11" t="s">
        <v>156</v>
      </c>
      <c r="D617" s="11">
        <v>1</v>
      </c>
      <c r="E617" s="11" t="s">
        <v>4</v>
      </c>
      <c r="F617" s="12">
        <v>20600</v>
      </c>
      <c r="G617" s="12">
        <v>20600</v>
      </c>
      <c r="H617" s="11" t="str">
        <f t="shared" si="22"/>
        <v>平成4年12月5日</v>
      </c>
      <c r="I617" s="22">
        <f t="shared" si="23"/>
        <v>33943</v>
      </c>
      <c r="J617" s="1" t="str">
        <f>"00739940"</f>
        <v>00739940</v>
      </c>
      <c r="K617" s="1" t="str">
        <f>"４７６　　　　　　　　　　　　　　　　　"</f>
        <v>４７６　　　　　　　　　　　　　　　　　</v>
      </c>
      <c r="L617" s="1"/>
    </row>
    <row r="618" spans="1:12" ht="18" customHeight="1" x14ac:dyDescent="0.15">
      <c r="A618" s="11">
        <v>1775</v>
      </c>
      <c r="B618" s="11" t="s">
        <v>53</v>
      </c>
      <c r="C618" s="11" t="s">
        <v>156</v>
      </c>
      <c r="D618" s="11">
        <v>1</v>
      </c>
      <c r="E618" s="11" t="s">
        <v>4</v>
      </c>
      <c r="F618" s="12">
        <v>20600</v>
      </c>
      <c r="G618" s="12">
        <v>20600</v>
      </c>
      <c r="H618" s="11" t="str">
        <f t="shared" si="22"/>
        <v>平成4年12月5日</v>
      </c>
      <c r="I618" s="22">
        <f t="shared" si="23"/>
        <v>33943</v>
      </c>
      <c r="J618" s="1" t="str">
        <f>"00739942"</f>
        <v>00739942</v>
      </c>
      <c r="K618" s="1" t="str">
        <f>"４７７　　　　　　　　　　　　　　　　　"</f>
        <v>４７７　　　　　　　　　　　　　　　　　</v>
      </c>
      <c r="L618" s="1"/>
    </row>
    <row r="619" spans="1:12" ht="18" customHeight="1" x14ac:dyDescent="0.15">
      <c r="A619" s="11">
        <v>1776</v>
      </c>
      <c r="B619" s="11" t="s">
        <v>53</v>
      </c>
      <c r="C619" s="11" t="s">
        <v>156</v>
      </c>
      <c r="D619" s="11">
        <v>1</v>
      </c>
      <c r="E619" s="11" t="s">
        <v>4</v>
      </c>
      <c r="F619" s="12">
        <v>20600</v>
      </c>
      <c r="G619" s="12">
        <v>20600</v>
      </c>
      <c r="H619" s="11" t="str">
        <f t="shared" si="22"/>
        <v>平成4年12月5日</v>
      </c>
      <c r="I619" s="22">
        <f t="shared" si="23"/>
        <v>33943</v>
      </c>
      <c r="J619" s="1" t="str">
        <f>"00739944"</f>
        <v>00739944</v>
      </c>
      <c r="K619" s="1" t="str">
        <f>"４７８　　　　　　　　　　　　　　　　　"</f>
        <v>４７８　　　　　　　　　　　　　　　　　</v>
      </c>
      <c r="L619" s="1"/>
    </row>
    <row r="620" spans="1:12" ht="18" customHeight="1" x14ac:dyDescent="0.15">
      <c r="A620" s="11">
        <v>1777</v>
      </c>
      <c r="B620" s="11" t="s">
        <v>53</v>
      </c>
      <c r="C620" s="11" t="s">
        <v>156</v>
      </c>
      <c r="D620" s="11">
        <v>1</v>
      </c>
      <c r="E620" s="11" t="s">
        <v>4</v>
      </c>
      <c r="F620" s="12">
        <v>20600</v>
      </c>
      <c r="G620" s="12">
        <v>20600</v>
      </c>
      <c r="H620" s="11" t="str">
        <f t="shared" si="22"/>
        <v>平成4年12月5日</v>
      </c>
      <c r="I620" s="22">
        <f t="shared" si="23"/>
        <v>33943</v>
      </c>
      <c r="J620" s="1" t="str">
        <f>"00739946"</f>
        <v>00739946</v>
      </c>
      <c r="K620" s="1" t="str">
        <f>"４７９　　　　　　　　　　　　　　　　　"</f>
        <v>４７９　　　　　　　　　　　　　　　　　</v>
      </c>
      <c r="L620" s="1"/>
    </row>
    <row r="621" spans="1:12" ht="18" customHeight="1" x14ac:dyDescent="0.15">
      <c r="A621" s="11">
        <v>1778</v>
      </c>
      <c r="B621" s="11" t="s">
        <v>53</v>
      </c>
      <c r="C621" s="11" t="s">
        <v>156</v>
      </c>
      <c r="D621" s="11">
        <v>1</v>
      </c>
      <c r="E621" s="11" t="s">
        <v>4</v>
      </c>
      <c r="F621" s="12">
        <v>20600</v>
      </c>
      <c r="G621" s="12">
        <v>20600</v>
      </c>
      <c r="H621" s="11" t="str">
        <f t="shared" si="22"/>
        <v>平成4年12月5日</v>
      </c>
      <c r="I621" s="22">
        <f t="shared" si="23"/>
        <v>33943</v>
      </c>
      <c r="J621" s="1" t="str">
        <f>"00739948"</f>
        <v>00739948</v>
      </c>
      <c r="K621" s="1" t="str">
        <f>"４８０　　　　　　　　　　　　　　　　　"</f>
        <v>４８０　　　　　　　　　　　　　　　　　</v>
      </c>
      <c r="L621" s="1"/>
    </row>
    <row r="622" spans="1:12" ht="18" customHeight="1" x14ac:dyDescent="0.15">
      <c r="A622" s="11">
        <v>1779</v>
      </c>
      <c r="B622" s="11" t="s">
        <v>53</v>
      </c>
      <c r="C622" s="11" t="s">
        <v>156</v>
      </c>
      <c r="D622" s="11">
        <v>1</v>
      </c>
      <c r="E622" s="11" t="s">
        <v>4</v>
      </c>
      <c r="F622" s="12">
        <v>20600</v>
      </c>
      <c r="G622" s="12">
        <v>20600</v>
      </c>
      <c r="H622" s="11" t="str">
        <f t="shared" ref="H622:H685" si="24">"平成4年12月5日"</f>
        <v>平成4年12月5日</v>
      </c>
      <c r="I622" s="22">
        <f t="shared" si="23"/>
        <v>33943</v>
      </c>
      <c r="J622" s="1" t="str">
        <f>"00739950"</f>
        <v>00739950</v>
      </c>
      <c r="K622" s="1" t="str">
        <f>"４８１　　　　　　　　　　　　　　　　　"</f>
        <v>４８１　　　　　　　　　　　　　　　　　</v>
      </c>
      <c r="L622" s="1"/>
    </row>
    <row r="623" spans="1:12" ht="18" customHeight="1" x14ac:dyDescent="0.15">
      <c r="A623" s="11">
        <v>1780</v>
      </c>
      <c r="B623" s="11" t="s">
        <v>53</v>
      </c>
      <c r="C623" s="11" t="s">
        <v>156</v>
      </c>
      <c r="D623" s="11">
        <v>1</v>
      </c>
      <c r="E623" s="11" t="s">
        <v>4</v>
      </c>
      <c r="F623" s="12">
        <v>20600</v>
      </c>
      <c r="G623" s="12">
        <v>20600</v>
      </c>
      <c r="H623" s="11" t="str">
        <f t="shared" si="24"/>
        <v>平成4年12月5日</v>
      </c>
      <c r="I623" s="22">
        <f t="shared" si="23"/>
        <v>33943</v>
      </c>
      <c r="J623" s="1" t="str">
        <f>"00739952"</f>
        <v>00739952</v>
      </c>
      <c r="K623" s="1" t="str">
        <f>"４８２　　　　　　　　　　　　　　　　　"</f>
        <v>４８２　　　　　　　　　　　　　　　　　</v>
      </c>
      <c r="L623" s="1"/>
    </row>
    <row r="624" spans="1:12" ht="18" customHeight="1" x14ac:dyDescent="0.15">
      <c r="A624" s="11">
        <v>1781</v>
      </c>
      <c r="B624" s="11" t="s">
        <v>53</v>
      </c>
      <c r="C624" s="11" t="s">
        <v>156</v>
      </c>
      <c r="D624" s="11">
        <v>1</v>
      </c>
      <c r="E624" s="11" t="s">
        <v>4</v>
      </c>
      <c r="F624" s="12">
        <v>20600</v>
      </c>
      <c r="G624" s="12">
        <v>20600</v>
      </c>
      <c r="H624" s="11" t="str">
        <f t="shared" si="24"/>
        <v>平成4年12月5日</v>
      </c>
      <c r="I624" s="22">
        <f t="shared" si="23"/>
        <v>33943</v>
      </c>
      <c r="J624" s="1" t="str">
        <f>"00739955"</f>
        <v>00739955</v>
      </c>
      <c r="K624" s="1" t="str">
        <f>"４８３　　　　　　　　　　　　　　　　　"</f>
        <v>４８３　　　　　　　　　　　　　　　　　</v>
      </c>
      <c r="L624" s="1"/>
    </row>
    <row r="625" spans="1:12" ht="18" customHeight="1" x14ac:dyDescent="0.15">
      <c r="A625" s="11">
        <v>1782</v>
      </c>
      <c r="B625" s="11" t="s">
        <v>53</v>
      </c>
      <c r="C625" s="11" t="s">
        <v>156</v>
      </c>
      <c r="D625" s="11">
        <v>1</v>
      </c>
      <c r="E625" s="11" t="s">
        <v>4</v>
      </c>
      <c r="F625" s="12">
        <v>20600</v>
      </c>
      <c r="G625" s="12">
        <v>20600</v>
      </c>
      <c r="H625" s="11" t="str">
        <f t="shared" si="24"/>
        <v>平成4年12月5日</v>
      </c>
      <c r="I625" s="22">
        <f t="shared" si="23"/>
        <v>33943</v>
      </c>
      <c r="J625" s="1" t="str">
        <f>"00739956"</f>
        <v>00739956</v>
      </c>
      <c r="K625" s="1" t="str">
        <f>"４８４　　　　　　　　　　　　　　　　　"</f>
        <v>４８４　　　　　　　　　　　　　　　　　</v>
      </c>
      <c r="L625" s="1"/>
    </row>
    <row r="626" spans="1:12" ht="18" customHeight="1" x14ac:dyDescent="0.15">
      <c r="A626" s="11">
        <v>1783</v>
      </c>
      <c r="B626" s="11" t="s">
        <v>53</v>
      </c>
      <c r="C626" s="11" t="s">
        <v>156</v>
      </c>
      <c r="D626" s="11">
        <v>1</v>
      </c>
      <c r="E626" s="11" t="s">
        <v>4</v>
      </c>
      <c r="F626" s="12">
        <v>20600</v>
      </c>
      <c r="G626" s="12">
        <v>20600</v>
      </c>
      <c r="H626" s="11" t="str">
        <f t="shared" si="24"/>
        <v>平成4年12月5日</v>
      </c>
      <c r="I626" s="22">
        <f t="shared" si="23"/>
        <v>33943</v>
      </c>
      <c r="J626" s="1" t="str">
        <f>"00739958"</f>
        <v>00739958</v>
      </c>
      <c r="K626" s="1" t="str">
        <f>"４８５　　　　　　　　　　　　　　　　　"</f>
        <v>４８５　　　　　　　　　　　　　　　　　</v>
      </c>
      <c r="L626" s="1"/>
    </row>
    <row r="627" spans="1:12" ht="18" customHeight="1" x14ac:dyDescent="0.15">
      <c r="A627" s="11">
        <v>1784</v>
      </c>
      <c r="B627" s="11" t="s">
        <v>53</v>
      </c>
      <c r="C627" s="11" t="s">
        <v>156</v>
      </c>
      <c r="D627" s="11">
        <v>1</v>
      </c>
      <c r="E627" s="11" t="s">
        <v>4</v>
      </c>
      <c r="F627" s="12">
        <v>20600</v>
      </c>
      <c r="G627" s="12">
        <v>20600</v>
      </c>
      <c r="H627" s="11" t="str">
        <f t="shared" si="24"/>
        <v>平成4年12月5日</v>
      </c>
      <c r="I627" s="22">
        <f t="shared" si="23"/>
        <v>33943</v>
      </c>
      <c r="J627" s="1" t="str">
        <f>"00739960"</f>
        <v>00739960</v>
      </c>
      <c r="K627" s="1" t="str">
        <f>"４８６　　　　　　　　　　　　　　　　　"</f>
        <v>４８６　　　　　　　　　　　　　　　　　</v>
      </c>
      <c r="L627" s="1"/>
    </row>
    <row r="628" spans="1:12" ht="18" customHeight="1" x14ac:dyDescent="0.15">
      <c r="A628" s="11">
        <v>1785</v>
      </c>
      <c r="B628" s="11" t="s">
        <v>53</v>
      </c>
      <c r="C628" s="11" t="s">
        <v>156</v>
      </c>
      <c r="D628" s="11">
        <v>1</v>
      </c>
      <c r="E628" s="11" t="s">
        <v>4</v>
      </c>
      <c r="F628" s="12">
        <v>20600</v>
      </c>
      <c r="G628" s="12">
        <v>20600</v>
      </c>
      <c r="H628" s="11" t="str">
        <f t="shared" si="24"/>
        <v>平成4年12月5日</v>
      </c>
      <c r="I628" s="22">
        <f t="shared" si="23"/>
        <v>33943</v>
      </c>
      <c r="J628" s="1" t="str">
        <f>"00739962"</f>
        <v>00739962</v>
      </c>
      <c r="K628" s="1" t="str">
        <f>"４８７　　　　　　　　　　　　　　　　　"</f>
        <v>４８７　　　　　　　　　　　　　　　　　</v>
      </c>
      <c r="L628" s="1"/>
    </row>
    <row r="629" spans="1:12" ht="18" customHeight="1" x14ac:dyDescent="0.15">
      <c r="A629" s="11">
        <v>1786</v>
      </c>
      <c r="B629" s="11" t="s">
        <v>53</v>
      </c>
      <c r="C629" s="11" t="s">
        <v>156</v>
      </c>
      <c r="D629" s="11">
        <v>1</v>
      </c>
      <c r="E629" s="11" t="s">
        <v>4</v>
      </c>
      <c r="F629" s="12">
        <v>20600</v>
      </c>
      <c r="G629" s="12">
        <v>20600</v>
      </c>
      <c r="H629" s="11" t="str">
        <f t="shared" si="24"/>
        <v>平成4年12月5日</v>
      </c>
      <c r="I629" s="22">
        <f t="shared" si="23"/>
        <v>33943</v>
      </c>
      <c r="J629" s="1" t="str">
        <f>"00739965"</f>
        <v>00739965</v>
      </c>
      <c r="K629" s="1" t="str">
        <f>"４８８　　　　　　　　　　　　　　　　　"</f>
        <v>４８８　　　　　　　　　　　　　　　　　</v>
      </c>
      <c r="L629" s="1"/>
    </row>
    <row r="630" spans="1:12" ht="18" customHeight="1" x14ac:dyDescent="0.15">
      <c r="A630" s="11">
        <v>1787</v>
      </c>
      <c r="B630" s="11" t="s">
        <v>53</v>
      </c>
      <c r="C630" s="11" t="s">
        <v>156</v>
      </c>
      <c r="D630" s="11">
        <v>1</v>
      </c>
      <c r="E630" s="11" t="s">
        <v>4</v>
      </c>
      <c r="F630" s="12">
        <v>20600</v>
      </c>
      <c r="G630" s="12">
        <v>20600</v>
      </c>
      <c r="H630" s="11" t="str">
        <f t="shared" si="24"/>
        <v>平成4年12月5日</v>
      </c>
      <c r="I630" s="22">
        <f t="shared" si="23"/>
        <v>33943</v>
      </c>
      <c r="J630" s="1" t="str">
        <f>"00739966"</f>
        <v>00739966</v>
      </c>
      <c r="K630" s="1" t="str">
        <f>"４８９　　　　　　　　　　　　　　　　　"</f>
        <v>４８９　　　　　　　　　　　　　　　　　</v>
      </c>
      <c r="L630" s="1"/>
    </row>
    <row r="631" spans="1:12" ht="18" customHeight="1" x14ac:dyDescent="0.15">
      <c r="A631" s="11">
        <v>1788</v>
      </c>
      <c r="B631" s="11" t="s">
        <v>53</v>
      </c>
      <c r="C631" s="11" t="s">
        <v>156</v>
      </c>
      <c r="D631" s="11">
        <v>1</v>
      </c>
      <c r="E631" s="11" t="s">
        <v>4</v>
      </c>
      <c r="F631" s="12">
        <v>20600</v>
      </c>
      <c r="G631" s="12">
        <v>20600</v>
      </c>
      <c r="H631" s="11" t="str">
        <f t="shared" si="24"/>
        <v>平成4年12月5日</v>
      </c>
      <c r="I631" s="22">
        <f t="shared" si="23"/>
        <v>33943</v>
      </c>
      <c r="J631" s="1" t="str">
        <f>"00739969"</f>
        <v>00739969</v>
      </c>
      <c r="K631" s="1" t="str">
        <f>"４９０　　　　　　　　　　　　　　　　　"</f>
        <v>４９０　　　　　　　　　　　　　　　　　</v>
      </c>
      <c r="L631" s="1"/>
    </row>
    <row r="632" spans="1:12" ht="18" customHeight="1" x14ac:dyDescent="0.15">
      <c r="A632" s="11">
        <v>1789</v>
      </c>
      <c r="B632" s="11" t="s">
        <v>53</v>
      </c>
      <c r="C632" s="11" t="s">
        <v>156</v>
      </c>
      <c r="D632" s="11">
        <v>1</v>
      </c>
      <c r="E632" s="11" t="s">
        <v>4</v>
      </c>
      <c r="F632" s="12">
        <v>20600</v>
      </c>
      <c r="G632" s="12">
        <v>20600</v>
      </c>
      <c r="H632" s="11" t="str">
        <f t="shared" si="24"/>
        <v>平成4年12月5日</v>
      </c>
      <c r="I632" s="22">
        <f t="shared" si="23"/>
        <v>33943</v>
      </c>
      <c r="J632" s="1" t="str">
        <f>"00739971"</f>
        <v>00739971</v>
      </c>
      <c r="K632" s="1" t="str">
        <f>"４９１　　　　　　　　　　　　　　　　　"</f>
        <v>４９１　　　　　　　　　　　　　　　　　</v>
      </c>
      <c r="L632" s="1"/>
    </row>
    <row r="633" spans="1:12" ht="18" customHeight="1" x14ac:dyDescent="0.15">
      <c r="A633" s="11">
        <v>1790</v>
      </c>
      <c r="B633" s="11" t="s">
        <v>53</v>
      </c>
      <c r="C633" s="11" t="s">
        <v>156</v>
      </c>
      <c r="D633" s="11">
        <v>1</v>
      </c>
      <c r="E633" s="11" t="s">
        <v>4</v>
      </c>
      <c r="F633" s="12">
        <v>20600</v>
      </c>
      <c r="G633" s="12">
        <v>20600</v>
      </c>
      <c r="H633" s="11" t="str">
        <f t="shared" si="24"/>
        <v>平成4年12月5日</v>
      </c>
      <c r="I633" s="22">
        <f t="shared" si="23"/>
        <v>33943</v>
      </c>
      <c r="J633" s="1" t="str">
        <f>"00739973"</f>
        <v>00739973</v>
      </c>
      <c r="K633" s="1" t="str">
        <f>"４９２　　　　　　　　　　　　　　　　　"</f>
        <v>４９２　　　　　　　　　　　　　　　　　</v>
      </c>
      <c r="L633" s="1"/>
    </row>
    <row r="634" spans="1:12" ht="18" customHeight="1" x14ac:dyDescent="0.15">
      <c r="A634" s="11">
        <v>1791</v>
      </c>
      <c r="B634" s="11" t="s">
        <v>53</v>
      </c>
      <c r="C634" s="11" t="s">
        <v>156</v>
      </c>
      <c r="D634" s="11">
        <v>1</v>
      </c>
      <c r="E634" s="11" t="s">
        <v>4</v>
      </c>
      <c r="F634" s="12">
        <v>20600</v>
      </c>
      <c r="G634" s="12">
        <v>20600</v>
      </c>
      <c r="H634" s="11" t="str">
        <f t="shared" si="24"/>
        <v>平成4年12月5日</v>
      </c>
      <c r="I634" s="22">
        <f t="shared" si="23"/>
        <v>33943</v>
      </c>
      <c r="J634" s="1" t="str">
        <f>"00739975"</f>
        <v>00739975</v>
      </c>
      <c r="K634" s="1" t="str">
        <f>"４９３　　　　　　　　　　　　　　　　　"</f>
        <v>４９３　　　　　　　　　　　　　　　　　</v>
      </c>
      <c r="L634" s="1"/>
    </row>
    <row r="635" spans="1:12" ht="18" customHeight="1" x14ac:dyDescent="0.15">
      <c r="A635" s="11">
        <v>1792</v>
      </c>
      <c r="B635" s="11" t="s">
        <v>53</v>
      </c>
      <c r="C635" s="11" t="s">
        <v>156</v>
      </c>
      <c r="D635" s="11">
        <v>1</v>
      </c>
      <c r="E635" s="11" t="s">
        <v>4</v>
      </c>
      <c r="F635" s="12">
        <v>20600</v>
      </c>
      <c r="G635" s="12">
        <v>20600</v>
      </c>
      <c r="H635" s="11" t="str">
        <f t="shared" si="24"/>
        <v>平成4年12月5日</v>
      </c>
      <c r="I635" s="22">
        <f t="shared" si="23"/>
        <v>33943</v>
      </c>
      <c r="J635" s="1" t="str">
        <f>"00739976"</f>
        <v>00739976</v>
      </c>
      <c r="K635" s="1" t="str">
        <f>"４９４　　　　　　　　　　　　　　　　　"</f>
        <v>４９４　　　　　　　　　　　　　　　　　</v>
      </c>
      <c r="L635" s="1"/>
    </row>
    <row r="636" spans="1:12" ht="18" customHeight="1" x14ac:dyDescent="0.15">
      <c r="A636" s="11">
        <v>1793</v>
      </c>
      <c r="B636" s="11" t="s">
        <v>53</v>
      </c>
      <c r="C636" s="11" t="s">
        <v>156</v>
      </c>
      <c r="D636" s="11">
        <v>1</v>
      </c>
      <c r="E636" s="11" t="s">
        <v>4</v>
      </c>
      <c r="F636" s="12">
        <v>20600</v>
      </c>
      <c r="G636" s="12">
        <v>20600</v>
      </c>
      <c r="H636" s="11" t="str">
        <f t="shared" si="24"/>
        <v>平成4年12月5日</v>
      </c>
      <c r="I636" s="22">
        <f t="shared" si="23"/>
        <v>33943</v>
      </c>
      <c r="J636" s="1" t="str">
        <f>"00739978"</f>
        <v>00739978</v>
      </c>
      <c r="K636" s="1" t="str">
        <f>"４９５　　　　　　　　　　　　　　　　　"</f>
        <v>４９５　　　　　　　　　　　　　　　　　</v>
      </c>
      <c r="L636" s="1"/>
    </row>
    <row r="637" spans="1:12" ht="18" customHeight="1" x14ac:dyDescent="0.15">
      <c r="A637" s="11">
        <v>1794</v>
      </c>
      <c r="B637" s="11" t="s">
        <v>53</v>
      </c>
      <c r="C637" s="11" t="s">
        <v>156</v>
      </c>
      <c r="D637" s="11">
        <v>1</v>
      </c>
      <c r="E637" s="11" t="s">
        <v>4</v>
      </c>
      <c r="F637" s="12">
        <v>20600</v>
      </c>
      <c r="G637" s="12">
        <v>20600</v>
      </c>
      <c r="H637" s="11" t="str">
        <f t="shared" si="24"/>
        <v>平成4年12月5日</v>
      </c>
      <c r="I637" s="22">
        <f t="shared" si="23"/>
        <v>33943</v>
      </c>
      <c r="J637" s="1" t="str">
        <f>"00739981"</f>
        <v>00739981</v>
      </c>
      <c r="K637" s="1" t="str">
        <f>"４９６　　　　　　　　　　　　　　　　　"</f>
        <v>４９６　　　　　　　　　　　　　　　　　</v>
      </c>
      <c r="L637" s="1"/>
    </row>
    <row r="638" spans="1:12" ht="18" customHeight="1" x14ac:dyDescent="0.15">
      <c r="A638" s="11">
        <v>1795</v>
      </c>
      <c r="B638" s="11" t="s">
        <v>53</v>
      </c>
      <c r="C638" s="11" t="s">
        <v>156</v>
      </c>
      <c r="D638" s="11">
        <v>1</v>
      </c>
      <c r="E638" s="11" t="s">
        <v>4</v>
      </c>
      <c r="F638" s="12">
        <v>20600</v>
      </c>
      <c r="G638" s="12">
        <v>20600</v>
      </c>
      <c r="H638" s="11" t="str">
        <f t="shared" si="24"/>
        <v>平成4年12月5日</v>
      </c>
      <c r="I638" s="22">
        <f t="shared" si="23"/>
        <v>33943</v>
      </c>
      <c r="J638" s="1" t="str">
        <f>"00739983"</f>
        <v>00739983</v>
      </c>
      <c r="K638" s="1" t="str">
        <f>"４９７　　　　　　　　　　　　　　　　　"</f>
        <v>４９７　　　　　　　　　　　　　　　　　</v>
      </c>
      <c r="L638" s="1"/>
    </row>
    <row r="639" spans="1:12" ht="18" customHeight="1" x14ac:dyDescent="0.15">
      <c r="A639" s="11">
        <v>1796</v>
      </c>
      <c r="B639" s="11" t="s">
        <v>53</v>
      </c>
      <c r="C639" s="11" t="s">
        <v>156</v>
      </c>
      <c r="D639" s="11">
        <v>1</v>
      </c>
      <c r="E639" s="11" t="s">
        <v>4</v>
      </c>
      <c r="F639" s="12">
        <v>20600</v>
      </c>
      <c r="G639" s="12">
        <v>20600</v>
      </c>
      <c r="H639" s="11" t="str">
        <f t="shared" si="24"/>
        <v>平成4年12月5日</v>
      </c>
      <c r="I639" s="22">
        <f t="shared" si="23"/>
        <v>33943</v>
      </c>
      <c r="J639" s="1" t="str">
        <f>"00739984"</f>
        <v>00739984</v>
      </c>
      <c r="K639" s="1" t="str">
        <f>"４９８　　　　　　　　　　　　　　　　　"</f>
        <v>４９８　　　　　　　　　　　　　　　　　</v>
      </c>
      <c r="L639" s="1"/>
    </row>
    <row r="640" spans="1:12" ht="18" customHeight="1" x14ac:dyDescent="0.15">
      <c r="A640" s="11">
        <v>1797</v>
      </c>
      <c r="B640" s="11" t="s">
        <v>53</v>
      </c>
      <c r="C640" s="11" t="s">
        <v>156</v>
      </c>
      <c r="D640" s="11">
        <v>1</v>
      </c>
      <c r="E640" s="11" t="s">
        <v>4</v>
      </c>
      <c r="F640" s="12">
        <v>20600</v>
      </c>
      <c r="G640" s="12">
        <v>20600</v>
      </c>
      <c r="H640" s="11" t="str">
        <f t="shared" si="24"/>
        <v>平成4年12月5日</v>
      </c>
      <c r="I640" s="22">
        <f t="shared" si="23"/>
        <v>33943</v>
      </c>
      <c r="J640" s="1" t="str">
        <f>"00739987"</f>
        <v>00739987</v>
      </c>
      <c r="K640" s="1" t="str">
        <f>"４９９　　　　　　　　　　　　　　　　　"</f>
        <v>４９９　　　　　　　　　　　　　　　　　</v>
      </c>
      <c r="L640" s="1"/>
    </row>
    <row r="641" spans="1:12" ht="18" customHeight="1" x14ac:dyDescent="0.15">
      <c r="A641" s="11">
        <v>1798</v>
      </c>
      <c r="B641" s="11" t="s">
        <v>53</v>
      </c>
      <c r="C641" s="11" t="s">
        <v>156</v>
      </c>
      <c r="D641" s="11">
        <v>1</v>
      </c>
      <c r="E641" s="11" t="s">
        <v>4</v>
      </c>
      <c r="F641" s="12">
        <v>20600</v>
      </c>
      <c r="G641" s="12">
        <v>20600</v>
      </c>
      <c r="H641" s="11" t="str">
        <f t="shared" si="24"/>
        <v>平成4年12月5日</v>
      </c>
      <c r="I641" s="22">
        <f t="shared" si="23"/>
        <v>33943</v>
      </c>
      <c r="J641" s="1" t="str">
        <f>"00739989"</f>
        <v>00739989</v>
      </c>
      <c r="K641" s="1" t="str">
        <f>"５００　　　　　　　　　　　　　　　　　"</f>
        <v>５００　　　　　　　　　　　　　　　　　</v>
      </c>
      <c r="L641" s="1"/>
    </row>
    <row r="642" spans="1:12" ht="18" customHeight="1" x14ac:dyDescent="0.15">
      <c r="A642" s="11">
        <v>1799</v>
      </c>
      <c r="B642" s="11" t="s">
        <v>53</v>
      </c>
      <c r="C642" s="11" t="s">
        <v>156</v>
      </c>
      <c r="D642" s="11">
        <v>1</v>
      </c>
      <c r="E642" s="11" t="s">
        <v>4</v>
      </c>
      <c r="F642" s="12">
        <v>20600</v>
      </c>
      <c r="G642" s="12">
        <v>20600</v>
      </c>
      <c r="H642" s="11" t="str">
        <f t="shared" si="24"/>
        <v>平成4年12月5日</v>
      </c>
      <c r="I642" s="22">
        <f t="shared" si="23"/>
        <v>33943</v>
      </c>
      <c r="J642" s="1" t="str">
        <f>"00739991"</f>
        <v>00739991</v>
      </c>
      <c r="K642" s="1" t="str">
        <f>"５０１　　　　　　　　　　　　　　　　　"</f>
        <v>５０１　　　　　　　　　　　　　　　　　</v>
      </c>
      <c r="L642" s="1"/>
    </row>
    <row r="643" spans="1:12" ht="18" customHeight="1" x14ac:dyDescent="0.15">
      <c r="A643" s="11">
        <v>1800</v>
      </c>
      <c r="B643" s="11" t="s">
        <v>53</v>
      </c>
      <c r="C643" s="11" t="s">
        <v>156</v>
      </c>
      <c r="D643" s="11">
        <v>1</v>
      </c>
      <c r="E643" s="11" t="s">
        <v>4</v>
      </c>
      <c r="F643" s="12">
        <v>20600</v>
      </c>
      <c r="G643" s="12">
        <v>20600</v>
      </c>
      <c r="H643" s="11" t="str">
        <f t="shared" si="24"/>
        <v>平成4年12月5日</v>
      </c>
      <c r="I643" s="22">
        <f t="shared" si="23"/>
        <v>33943</v>
      </c>
      <c r="J643" s="1" t="str">
        <f>"00739993"</f>
        <v>00739993</v>
      </c>
      <c r="K643" s="1" t="str">
        <f>"５０２　　　　　　　　　　　　　　　　　"</f>
        <v>５０２　　　　　　　　　　　　　　　　　</v>
      </c>
      <c r="L643" s="1"/>
    </row>
    <row r="644" spans="1:12" ht="18" customHeight="1" x14ac:dyDescent="0.15">
      <c r="A644" s="11">
        <v>1801</v>
      </c>
      <c r="B644" s="11" t="s">
        <v>53</v>
      </c>
      <c r="C644" s="11" t="s">
        <v>156</v>
      </c>
      <c r="D644" s="11">
        <v>1</v>
      </c>
      <c r="E644" s="11" t="s">
        <v>4</v>
      </c>
      <c r="F644" s="12">
        <v>20600</v>
      </c>
      <c r="G644" s="12">
        <v>20600</v>
      </c>
      <c r="H644" s="11" t="str">
        <f t="shared" si="24"/>
        <v>平成4年12月5日</v>
      </c>
      <c r="I644" s="22">
        <f t="shared" si="23"/>
        <v>33943</v>
      </c>
      <c r="J644" s="1" t="str">
        <f>"00739995"</f>
        <v>00739995</v>
      </c>
      <c r="K644" s="1" t="str">
        <f>"５０３　　　　　　　　　　　　　　　　　"</f>
        <v>５０３　　　　　　　　　　　　　　　　　</v>
      </c>
      <c r="L644" s="1"/>
    </row>
    <row r="645" spans="1:12" ht="18" customHeight="1" x14ac:dyDescent="0.15">
      <c r="A645" s="11">
        <v>1802</v>
      </c>
      <c r="B645" s="11" t="s">
        <v>53</v>
      </c>
      <c r="C645" s="11" t="s">
        <v>156</v>
      </c>
      <c r="D645" s="11">
        <v>1</v>
      </c>
      <c r="E645" s="11" t="s">
        <v>4</v>
      </c>
      <c r="F645" s="12">
        <v>20600</v>
      </c>
      <c r="G645" s="12">
        <v>20600</v>
      </c>
      <c r="H645" s="11" t="str">
        <f t="shared" si="24"/>
        <v>平成4年12月5日</v>
      </c>
      <c r="I645" s="22">
        <f t="shared" si="23"/>
        <v>33943</v>
      </c>
      <c r="J645" s="1" t="str">
        <f>"00739996"</f>
        <v>00739996</v>
      </c>
      <c r="K645" s="1" t="str">
        <f>"５０４　　　　　　　　　　　　　　　　　"</f>
        <v>５０４　　　　　　　　　　　　　　　　　</v>
      </c>
      <c r="L645" s="1"/>
    </row>
    <row r="646" spans="1:12" ht="18" customHeight="1" x14ac:dyDescent="0.15">
      <c r="A646" s="11">
        <v>1803</v>
      </c>
      <c r="B646" s="11" t="s">
        <v>53</v>
      </c>
      <c r="C646" s="11" t="s">
        <v>156</v>
      </c>
      <c r="D646" s="11">
        <v>1</v>
      </c>
      <c r="E646" s="11" t="s">
        <v>4</v>
      </c>
      <c r="F646" s="12">
        <v>20600</v>
      </c>
      <c r="G646" s="12">
        <v>20600</v>
      </c>
      <c r="H646" s="11" t="str">
        <f t="shared" si="24"/>
        <v>平成4年12月5日</v>
      </c>
      <c r="I646" s="22">
        <f t="shared" si="23"/>
        <v>33943</v>
      </c>
      <c r="J646" s="1" t="str">
        <f>"00739998"</f>
        <v>00739998</v>
      </c>
      <c r="K646" s="1" t="str">
        <f>"５０５　　　　　　　　　　　　　　　　　"</f>
        <v>５０５　　　　　　　　　　　　　　　　　</v>
      </c>
      <c r="L646" s="1"/>
    </row>
    <row r="647" spans="1:12" ht="18" customHeight="1" x14ac:dyDescent="0.15">
      <c r="A647" s="11">
        <v>1804</v>
      </c>
      <c r="B647" s="11" t="s">
        <v>53</v>
      </c>
      <c r="C647" s="11" t="s">
        <v>156</v>
      </c>
      <c r="D647" s="11">
        <v>1</v>
      </c>
      <c r="E647" s="11" t="s">
        <v>4</v>
      </c>
      <c r="F647" s="12">
        <v>20600</v>
      </c>
      <c r="G647" s="12">
        <v>20600</v>
      </c>
      <c r="H647" s="11" t="str">
        <f t="shared" si="24"/>
        <v>平成4年12月5日</v>
      </c>
      <c r="I647" s="22">
        <f t="shared" si="23"/>
        <v>33943</v>
      </c>
      <c r="J647" s="1" t="str">
        <f>"00740000"</f>
        <v>00740000</v>
      </c>
      <c r="K647" s="1" t="str">
        <f>"５０６　　　　　　　　　　　　　　　　　"</f>
        <v>５０６　　　　　　　　　　　　　　　　　</v>
      </c>
      <c r="L647" s="1"/>
    </row>
    <row r="648" spans="1:12" ht="18" customHeight="1" x14ac:dyDescent="0.15">
      <c r="A648" s="11">
        <v>1805</v>
      </c>
      <c r="B648" s="11" t="s">
        <v>53</v>
      </c>
      <c r="C648" s="11" t="s">
        <v>156</v>
      </c>
      <c r="D648" s="11">
        <v>1</v>
      </c>
      <c r="E648" s="11" t="s">
        <v>4</v>
      </c>
      <c r="F648" s="12">
        <v>20600</v>
      </c>
      <c r="G648" s="12">
        <v>20600</v>
      </c>
      <c r="H648" s="11" t="str">
        <f t="shared" si="24"/>
        <v>平成4年12月5日</v>
      </c>
      <c r="I648" s="22">
        <f t="shared" si="23"/>
        <v>33943</v>
      </c>
      <c r="J648" s="1" t="str">
        <f>"00740002"</f>
        <v>00740002</v>
      </c>
      <c r="K648" s="1" t="str">
        <f>"５０７　　　　　　　　　　　　　　　　　"</f>
        <v>５０７　　　　　　　　　　　　　　　　　</v>
      </c>
      <c r="L648" s="1"/>
    </row>
    <row r="649" spans="1:12" ht="18" customHeight="1" x14ac:dyDescent="0.15">
      <c r="A649" s="11">
        <v>1806</v>
      </c>
      <c r="B649" s="11" t="s">
        <v>53</v>
      </c>
      <c r="C649" s="11" t="s">
        <v>156</v>
      </c>
      <c r="D649" s="11">
        <v>1</v>
      </c>
      <c r="E649" s="11" t="s">
        <v>4</v>
      </c>
      <c r="F649" s="12">
        <v>20600</v>
      </c>
      <c r="G649" s="12">
        <v>20600</v>
      </c>
      <c r="H649" s="11" t="str">
        <f t="shared" si="24"/>
        <v>平成4年12月5日</v>
      </c>
      <c r="I649" s="22">
        <f t="shared" si="23"/>
        <v>33943</v>
      </c>
      <c r="J649" s="1" t="str">
        <f>"00740004"</f>
        <v>00740004</v>
      </c>
      <c r="K649" s="1" t="str">
        <f>"５０８　　　　　　　　　　　　　　　　　"</f>
        <v>５０８　　　　　　　　　　　　　　　　　</v>
      </c>
      <c r="L649" s="1"/>
    </row>
    <row r="650" spans="1:12" ht="18" customHeight="1" x14ac:dyDescent="0.15">
      <c r="A650" s="11">
        <v>1807</v>
      </c>
      <c r="B650" s="11" t="s">
        <v>53</v>
      </c>
      <c r="C650" s="11" t="s">
        <v>156</v>
      </c>
      <c r="D650" s="11">
        <v>1</v>
      </c>
      <c r="E650" s="11" t="s">
        <v>4</v>
      </c>
      <c r="F650" s="12">
        <v>20600</v>
      </c>
      <c r="G650" s="12">
        <v>20600</v>
      </c>
      <c r="H650" s="11" t="str">
        <f t="shared" si="24"/>
        <v>平成4年12月5日</v>
      </c>
      <c r="I650" s="22">
        <f t="shared" si="23"/>
        <v>33943</v>
      </c>
      <c r="J650" s="1" t="str">
        <f>"00740006"</f>
        <v>00740006</v>
      </c>
      <c r="K650" s="1" t="str">
        <f>"５０９　　　　　　　　　　　　　　　　　"</f>
        <v>５０９　　　　　　　　　　　　　　　　　</v>
      </c>
      <c r="L650" s="1"/>
    </row>
    <row r="651" spans="1:12" ht="18" customHeight="1" x14ac:dyDescent="0.15">
      <c r="A651" s="11">
        <v>1808</v>
      </c>
      <c r="B651" s="11" t="s">
        <v>53</v>
      </c>
      <c r="C651" s="11" t="s">
        <v>156</v>
      </c>
      <c r="D651" s="11">
        <v>1</v>
      </c>
      <c r="E651" s="11" t="s">
        <v>4</v>
      </c>
      <c r="F651" s="12">
        <v>20600</v>
      </c>
      <c r="G651" s="12">
        <v>20600</v>
      </c>
      <c r="H651" s="11" t="str">
        <f t="shared" si="24"/>
        <v>平成4年12月5日</v>
      </c>
      <c r="I651" s="22">
        <f t="shared" si="23"/>
        <v>33943</v>
      </c>
      <c r="J651" s="1" t="str">
        <f>"00740008"</f>
        <v>00740008</v>
      </c>
      <c r="K651" s="1" t="str">
        <f>"５１０　　　　　　　　　　　　　　　　　"</f>
        <v>５１０　　　　　　　　　　　　　　　　　</v>
      </c>
      <c r="L651" s="1"/>
    </row>
    <row r="652" spans="1:12" ht="18" customHeight="1" x14ac:dyDescent="0.15">
      <c r="A652" s="11">
        <v>1809</v>
      </c>
      <c r="B652" s="11" t="s">
        <v>53</v>
      </c>
      <c r="C652" s="11" t="s">
        <v>156</v>
      </c>
      <c r="D652" s="11">
        <v>1</v>
      </c>
      <c r="E652" s="11" t="s">
        <v>4</v>
      </c>
      <c r="F652" s="12">
        <v>20600</v>
      </c>
      <c r="G652" s="12">
        <v>20600</v>
      </c>
      <c r="H652" s="11" t="str">
        <f t="shared" si="24"/>
        <v>平成4年12月5日</v>
      </c>
      <c r="I652" s="22">
        <f t="shared" si="23"/>
        <v>33943</v>
      </c>
      <c r="J652" s="1" t="str">
        <f>"00740010"</f>
        <v>00740010</v>
      </c>
      <c r="K652" s="1" t="str">
        <f>"５１１　　　　　　　　　　　　　　　　　"</f>
        <v>５１１　　　　　　　　　　　　　　　　　</v>
      </c>
      <c r="L652" s="1"/>
    </row>
    <row r="653" spans="1:12" ht="18" customHeight="1" x14ac:dyDescent="0.15">
      <c r="A653" s="11">
        <v>1810</v>
      </c>
      <c r="B653" s="11" t="s">
        <v>53</v>
      </c>
      <c r="C653" s="11" t="s">
        <v>156</v>
      </c>
      <c r="D653" s="11">
        <v>1</v>
      </c>
      <c r="E653" s="11" t="s">
        <v>4</v>
      </c>
      <c r="F653" s="12">
        <v>20600</v>
      </c>
      <c r="G653" s="12">
        <v>20600</v>
      </c>
      <c r="H653" s="11" t="str">
        <f t="shared" si="24"/>
        <v>平成4年12月5日</v>
      </c>
      <c r="I653" s="22">
        <f t="shared" si="23"/>
        <v>33943</v>
      </c>
      <c r="J653" s="1" t="str">
        <f>"00740013"</f>
        <v>00740013</v>
      </c>
      <c r="K653" s="1" t="str">
        <f>"５１２　　　　　　　　　　　　　　　　　"</f>
        <v>５１２　　　　　　　　　　　　　　　　　</v>
      </c>
      <c r="L653" s="1"/>
    </row>
    <row r="654" spans="1:12" ht="18" customHeight="1" x14ac:dyDescent="0.15">
      <c r="A654" s="11">
        <v>1811</v>
      </c>
      <c r="B654" s="11" t="s">
        <v>53</v>
      </c>
      <c r="C654" s="11" t="s">
        <v>156</v>
      </c>
      <c r="D654" s="11">
        <v>1</v>
      </c>
      <c r="E654" s="11" t="s">
        <v>4</v>
      </c>
      <c r="F654" s="12">
        <v>20600</v>
      </c>
      <c r="G654" s="12">
        <v>20600</v>
      </c>
      <c r="H654" s="11" t="str">
        <f t="shared" si="24"/>
        <v>平成4年12月5日</v>
      </c>
      <c r="I654" s="22">
        <f t="shared" si="23"/>
        <v>33943</v>
      </c>
      <c r="J654" s="1" t="str">
        <f>"00740015"</f>
        <v>00740015</v>
      </c>
      <c r="K654" s="1" t="str">
        <f>"５１３　　　　　　　　　　　　　　　　　"</f>
        <v>５１３　　　　　　　　　　　　　　　　　</v>
      </c>
      <c r="L654" s="1"/>
    </row>
    <row r="655" spans="1:12" ht="18" customHeight="1" x14ac:dyDescent="0.15">
      <c r="A655" s="11">
        <v>1812</v>
      </c>
      <c r="B655" s="11" t="s">
        <v>53</v>
      </c>
      <c r="C655" s="11" t="s">
        <v>156</v>
      </c>
      <c r="D655" s="11">
        <v>1</v>
      </c>
      <c r="E655" s="11" t="s">
        <v>4</v>
      </c>
      <c r="F655" s="12">
        <v>20600</v>
      </c>
      <c r="G655" s="12">
        <v>20600</v>
      </c>
      <c r="H655" s="11" t="str">
        <f t="shared" si="24"/>
        <v>平成4年12月5日</v>
      </c>
      <c r="I655" s="22">
        <f t="shared" si="23"/>
        <v>33943</v>
      </c>
      <c r="J655" s="1" t="str">
        <f>"00740016"</f>
        <v>00740016</v>
      </c>
      <c r="K655" s="1" t="str">
        <f>"５１５　　　　　　　　　　　　　　　　　"</f>
        <v>５１５　　　　　　　　　　　　　　　　　</v>
      </c>
      <c r="L655" s="1"/>
    </row>
    <row r="656" spans="1:12" ht="18" customHeight="1" x14ac:dyDescent="0.15">
      <c r="A656" s="11">
        <v>1813</v>
      </c>
      <c r="B656" s="11" t="s">
        <v>53</v>
      </c>
      <c r="C656" s="11" t="s">
        <v>156</v>
      </c>
      <c r="D656" s="11">
        <v>1</v>
      </c>
      <c r="E656" s="11" t="s">
        <v>4</v>
      </c>
      <c r="F656" s="12">
        <v>20600</v>
      </c>
      <c r="G656" s="12">
        <v>20600</v>
      </c>
      <c r="H656" s="11" t="str">
        <f t="shared" si="24"/>
        <v>平成4年12月5日</v>
      </c>
      <c r="I656" s="22">
        <f t="shared" si="23"/>
        <v>33943</v>
      </c>
      <c r="J656" s="1" t="str">
        <f>"00740019"</f>
        <v>00740019</v>
      </c>
      <c r="K656" s="1" t="str">
        <f>"５１６　　　　　　　　　　　　　　　　　"</f>
        <v>５１６　　　　　　　　　　　　　　　　　</v>
      </c>
      <c r="L656" s="1"/>
    </row>
    <row r="657" spans="1:12" ht="18" customHeight="1" x14ac:dyDescent="0.15">
      <c r="A657" s="11">
        <v>1814</v>
      </c>
      <c r="B657" s="11" t="s">
        <v>53</v>
      </c>
      <c r="C657" s="11" t="s">
        <v>156</v>
      </c>
      <c r="D657" s="11">
        <v>1</v>
      </c>
      <c r="E657" s="11" t="s">
        <v>4</v>
      </c>
      <c r="F657" s="12">
        <v>20600</v>
      </c>
      <c r="G657" s="12">
        <v>20600</v>
      </c>
      <c r="H657" s="11" t="str">
        <f t="shared" si="24"/>
        <v>平成4年12月5日</v>
      </c>
      <c r="I657" s="22">
        <f t="shared" si="23"/>
        <v>33943</v>
      </c>
      <c r="J657" s="1" t="str">
        <f>"00740021"</f>
        <v>00740021</v>
      </c>
      <c r="K657" s="1" t="str">
        <f>"５１７　　　　　　　　　　　　　　　　　"</f>
        <v>５１７　　　　　　　　　　　　　　　　　</v>
      </c>
      <c r="L657" s="1"/>
    </row>
    <row r="658" spans="1:12" ht="18" customHeight="1" x14ac:dyDescent="0.15">
      <c r="A658" s="11">
        <v>1815</v>
      </c>
      <c r="B658" s="11" t="s">
        <v>53</v>
      </c>
      <c r="C658" s="11" t="s">
        <v>156</v>
      </c>
      <c r="D658" s="11">
        <v>1</v>
      </c>
      <c r="E658" s="11" t="s">
        <v>4</v>
      </c>
      <c r="F658" s="12">
        <v>20600</v>
      </c>
      <c r="G658" s="12">
        <v>20600</v>
      </c>
      <c r="H658" s="11" t="str">
        <f t="shared" si="24"/>
        <v>平成4年12月5日</v>
      </c>
      <c r="I658" s="22">
        <f t="shared" ref="I658:I721" si="25">DATEVALUE(H658)</f>
        <v>33943</v>
      </c>
      <c r="J658" s="1" t="str">
        <f>"00740023"</f>
        <v>00740023</v>
      </c>
      <c r="K658" s="1" t="str">
        <f>"５１８　　　　　　　　　　　　　　　　　"</f>
        <v>５１８　　　　　　　　　　　　　　　　　</v>
      </c>
      <c r="L658" s="1"/>
    </row>
    <row r="659" spans="1:12" ht="18" customHeight="1" x14ac:dyDescent="0.15">
      <c r="A659" s="11">
        <v>1816</v>
      </c>
      <c r="B659" s="11" t="s">
        <v>53</v>
      </c>
      <c r="C659" s="11" t="s">
        <v>156</v>
      </c>
      <c r="D659" s="11">
        <v>1</v>
      </c>
      <c r="E659" s="11" t="s">
        <v>4</v>
      </c>
      <c r="F659" s="12">
        <v>20600</v>
      </c>
      <c r="G659" s="12">
        <v>20600</v>
      </c>
      <c r="H659" s="11" t="str">
        <f t="shared" si="24"/>
        <v>平成4年12月5日</v>
      </c>
      <c r="I659" s="22">
        <f t="shared" si="25"/>
        <v>33943</v>
      </c>
      <c r="J659" s="1" t="str">
        <f>"00740025"</f>
        <v>00740025</v>
      </c>
      <c r="K659" s="1" t="str">
        <f>"５１９　　　　　　　　　　　　　　　　　"</f>
        <v>５１９　　　　　　　　　　　　　　　　　</v>
      </c>
      <c r="L659" s="1"/>
    </row>
    <row r="660" spans="1:12" ht="18" customHeight="1" x14ac:dyDescent="0.15">
      <c r="A660" s="11">
        <v>1817</v>
      </c>
      <c r="B660" s="11" t="s">
        <v>53</v>
      </c>
      <c r="C660" s="11" t="s">
        <v>156</v>
      </c>
      <c r="D660" s="11">
        <v>1</v>
      </c>
      <c r="E660" s="11" t="s">
        <v>4</v>
      </c>
      <c r="F660" s="12">
        <v>20600</v>
      </c>
      <c r="G660" s="12">
        <v>20600</v>
      </c>
      <c r="H660" s="11" t="str">
        <f t="shared" si="24"/>
        <v>平成4年12月5日</v>
      </c>
      <c r="I660" s="22">
        <f t="shared" si="25"/>
        <v>33943</v>
      </c>
      <c r="J660" s="1" t="str">
        <f>"00740026"</f>
        <v>00740026</v>
      </c>
      <c r="K660" s="1" t="str">
        <f>"５２０　　　　　　　　　　　　　　　　　"</f>
        <v>５２０　　　　　　　　　　　　　　　　　</v>
      </c>
      <c r="L660" s="1"/>
    </row>
    <row r="661" spans="1:12" ht="18" customHeight="1" x14ac:dyDescent="0.15">
      <c r="A661" s="11">
        <v>1818</v>
      </c>
      <c r="B661" s="11" t="s">
        <v>53</v>
      </c>
      <c r="C661" s="11" t="s">
        <v>156</v>
      </c>
      <c r="D661" s="11">
        <v>1</v>
      </c>
      <c r="E661" s="11" t="s">
        <v>4</v>
      </c>
      <c r="F661" s="12">
        <v>20600</v>
      </c>
      <c r="G661" s="12">
        <v>20600</v>
      </c>
      <c r="H661" s="11" t="str">
        <f t="shared" si="24"/>
        <v>平成4年12月5日</v>
      </c>
      <c r="I661" s="22">
        <f t="shared" si="25"/>
        <v>33943</v>
      </c>
      <c r="J661" s="1" t="str">
        <f>"00740029"</f>
        <v>00740029</v>
      </c>
      <c r="K661" s="1" t="str">
        <f>"５２１　　　　　　　　　　　　　　　　　"</f>
        <v>５２１　　　　　　　　　　　　　　　　　</v>
      </c>
      <c r="L661" s="1"/>
    </row>
    <row r="662" spans="1:12" ht="18" customHeight="1" x14ac:dyDescent="0.15">
      <c r="A662" s="11">
        <v>1819</v>
      </c>
      <c r="B662" s="11" t="s">
        <v>53</v>
      </c>
      <c r="C662" s="11" t="s">
        <v>156</v>
      </c>
      <c r="D662" s="11">
        <v>1</v>
      </c>
      <c r="E662" s="11" t="s">
        <v>4</v>
      </c>
      <c r="F662" s="12">
        <v>20600</v>
      </c>
      <c r="G662" s="12">
        <v>20600</v>
      </c>
      <c r="H662" s="11" t="str">
        <f t="shared" si="24"/>
        <v>平成4年12月5日</v>
      </c>
      <c r="I662" s="22">
        <f t="shared" si="25"/>
        <v>33943</v>
      </c>
      <c r="J662" s="1" t="str">
        <f>"00740031"</f>
        <v>00740031</v>
      </c>
      <c r="K662" s="1" t="str">
        <f>"５２３　　　　　　　　　　　　　　　　　"</f>
        <v>５２３　　　　　　　　　　　　　　　　　</v>
      </c>
      <c r="L662" s="1"/>
    </row>
    <row r="663" spans="1:12" ht="18" customHeight="1" x14ac:dyDescent="0.15">
      <c r="A663" s="11">
        <v>1820</v>
      </c>
      <c r="B663" s="11" t="s">
        <v>53</v>
      </c>
      <c r="C663" s="11" t="s">
        <v>156</v>
      </c>
      <c r="D663" s="11">
        <v>1</v>
      </c>
      <c r="E663" s="11" t="s">
        <v>4</v>
      </c>
      <c r="F663" s="12">
        <v>20600</v>
      </c>
      <c r="G663" s="12">
        <v>20600</v>
      </c>
      <c r="H663" s="11" t="str">
        <f t="shared" si="24"/>
        <v>平成4年12月5日</v>
      </c>
      <c r="I663" s="22">
        <f t="shared" si="25"/>
        <v>33943</v>
      </c>
      <c r="J663" s="1" t="str">
        <f>"00740033"</f>
        <v>00740033</v>
      </c>
      <c r="K663" s="1" t="str">
        <f>"５２４　　　　　　　　　　　　　　　　　"</f>
        <v>５２４　　　　　　　　　　　　　　　　　</v>
      </c>
      <c r="L663" s="1"/>
    </row>
    <row r="664" spans="1:12" ht="18" customHeight="1" x14ac:dyDescent="0.15">
      <c r="A664" s="11">
        <v>1821</v>
      </c>
      <c r="B664" s="11" t="s">
        <v>53</v>
      </c>
      <c r="C664" s="11" t="s">
        <v>156</v>
      </c>
      <c r="D664" s="11">
        <v>1</v>
      </c>
      <c r="E664" s="11" t="s">
        <v>4</v>
      </c>
      <c r="F664" s="12">
        <v>20600</v>
      </c>
      <c r="G664" s="12">
        <v>20600</v>
      </c>
      <c r="H664" s="11" t="str">
        <f t="shared" si="24"/>
        <v>平成4年12月5日</v>
      </c>
      <c r="I664" s="22">
        <f t="shared" si="25"/>
        <v>33943</v>
      </c>
      <c r="J664" s="1" t="str">
        <f>"00740035"</f>
        <v>00740035</v>
      </c>
      <c r="K664" s="1" t="str">
        <f>"５２５　　　　　　　　　　　　　　　　　"</f>
        <v>５２５　　　　　　　　　　　　　　　　　</v>
      </c>
      <c r="L664" s="1"/>
    </row>
    <row r="665" spans="1:12" ht="18" customHeight="1" x14ac:dyDescent="0.15">
      <c r="A665" s="11">
        <v>1822</v>
      </c>
      <c r="B665" s="11" t="s">
        <v>53</v>
      </c>
      <c r="C665" s="11" t="s">
        <v>156</v>
      </c>
      <c r="D665" s="11">
        <v>1</v>
      </c>
      <c r="E665" s="11" t="s">
        <v>4</v>
      </c>
      <c r="F665" s="12">
        <v>20600</v>
      </c>
      <c r="G665" s="12">
        <v>20600</v>
      </c>
      <c r="H665" s="11" t="str">
        <f t="shared" si="24"/>
        <v>平成4年12月5日</v>
      </c>
      <c r="I665" s="22">
        <f t="shared" si="25"/>
        <v>33943</v>
      </c>
      <c r="J665" s="1" t="str">
        <f>"00740036"</f>
        <v>00740036</v>
      </c>
      <c r="K665" s="1" t="str">
        <f>"５２６　　　　　　　　　　　　　　　　　"</f>
        <v>５２６　　　　　　　　　　　　　　　　　</v>
      </c>
      <c r="L665" s="1"/>
    </row>
    <row r="666" spans="1:12" ht="18" customHeight="1" x14ac:dyDescent="0.15">
      <c r="A666" s="11">
        <v>1823</v>
      </c>
      <c r="B666" s="11" t="s">
        <v>53</v>
      </c>
      <c r="C666" s="11" t="s">
        <v>156</v>
      </c>
      <c r="D666" s="11">
        <v>1</v>
      </c>
      <c r="E666" s="11" t="s">
        <v>4</v>
      </c>
      <c r="F666" s="12">
        <v>20600</v>
      </c>
      <c r="G666" s="12">
        <v>20600</v>
      </c>
      <c r="H666" s="11" t="str">
        <f t="shared" si="24"/>
        <v>平成4年12月5日</v>
      </c>
      <c r="I666" s="22">
        <f t="shared" si="25"/>
        <v>33943</v>
      </c>
      <c r="J666" s="1" t="str">
        <f>"00740038"</f>
        <v>00740038</v>
      </c>
      <c r="K666" s="1" t="str">
        <f>"５２７　　　　　　　　　　　　　　　　　"</f>
        <v>５２７　　　　　　　　　　　　　　　　　</v>
      </c>
      <c r="L666" s="1"/>
    </row>
    <row r="667" spans="1:12" ht="18" customHeight="1" x14ac:dyDescent="0.15">
      <c r="A667" s="11">
        <v>1824</v>
      </c>
      <c r="B667" s="11" t="s">
        <v>53</v>
      </c>
      <c r="C667" s="11" t="s">
        <v>156</v>
      </c>
      <c r="D667" s="11">
        <v>1</v>
      </c>
      <c r="E667" s="11" t="s">
        <v>4</v>
      </c>
      <c r="F667" s="12">
        <v>20600</v>
      </c>
      <c r="G667" s="12">
        <v>20600</v>
      </c>
      <c r="H667" s="11" t="str">
        <f t="shared" si="24"/>
        <v>平成4年12月5日</v>
      </c>
      <c r="I667" s="22">
        <f t="shared" si="25"/>
        <v>33943</v>
      </c>
      <c r="J667" s="1" t="str">
        <f>"00740041"</f>
        <v>00740041</v>
      </c>
      <c r="K667" s="1" t="str">
        <f>"５２８　　　　　　　　　　　　　　　　　"</f>
        <v>５２８　　　　　　　　　　　　　　　　　</v>
      </c>
      <c r="L667" s="1"/>
    </row>
    <row r="668" spans="1:12" ht="18" customHeight="1" x14ac:dyDescent="0.15">
      <c r="A668" s="11">
        <v>1825</v>
      </c>
      <c r="B668" s="11" t="s">
        <v>53</v>
      </c>
      <c r="C668" s="11" t="s">
        <v>156</v>
      </c>
      <c r="D668" s="11">
        <v>1</v>
      </c>
      <c r="E668" s="11" t="s">
        <v>4</v>
      </c>
      <c r="F668" s="12">
        <v>20600</v>
      </c>
      <c r="G668" s="12">
        <v>20600</v>
      </c>
      <c r="H668" s="11" t="str">
        <f t="shared" si="24"/>
        <v>平成4年12月5日</v>
      </c>
      <c r="I668" s="22">
        <f t="shared" si="25"/>
        <v>33943</v>
      </c>
      <c r="J668" s="1" t="str">
        <f>"00740042"</f>
        <v>00740042</v>
      </c>
      <c r="K668" s="1" t="str">
        <f>"５３０　　　　　　　　　　　　　　　　　"</f>
        <v>５３０　　　　　　　　　　　　　　　　　</v>
      </c>
      <c r="L668" s="1"/>
    </row>
    <row r="669" spans="1:12" ht="18" customHeight="1" x14ac:dyDescent="0.15">
      <c r="A669" s="11">
        <v>1826</v>
      </c>
      <c r="B669" s="11" t="s">
        <v>53</v>
      </c>
      <c r="C669" s="11" t="s">
        <v>156</v>
      </c>
      <c r="D669" s="11">
        <v>1</v>
      </c>
      <c r="E669" s="11" t="s">
        <v>4</v>
      </c>
      <c r="F669" s="12">
        <v>20600</v>
      </c>
      <c r="G669" s="12">
        <v>20600</v>
      </c>
      <c r="H669" s="11" t="str">
        <f t="shared" si="24"/>
        <v>平成4年12月5日</v>
      </c>
      <c r="I669" s="22">
        <f t="shared" si="25"/>
        <v>33943</v>
      </c>
      <c r="J669" s="1" t="str">
        <f>"00740044"</f>
        <v>00740044</v>
      </c>
      <c r="K669" s="1" t="str">
        <f>"５３１　　　　　　　　　　　　　　　　　"</f>
        <v>５３１　　　　　　　　　　　　　　　　　</v>
      </c>
      <c r="L669" s="1"/>
    </row>
    <row r="670" spans="1:12" ht="18" customHeight="1" x14ac:dyDescent="0.15">
      <c r="A670" s="11">
        <v>1827</v>
      </c>
      <c r="B670" s="11" t="s">
        <v>53</v>
      </c>
      <c r="C670" s="11" t="s">
        <v>156</v>
      </c>
      <c r="D670" s="11">
        <v>1</v>
      </c>
      <c r="E670" s="11" t="s">
        <v>4</v>
      </c>
      <c r="F670" s="12">
        <v>20600</v>
      </c>
      <c r="G670" s="12">
        <v>20600</v>
      </c>
      <c r="H670" s="11" t="str">
        <f t="shared" si="24"/>
        <v>平成4年12月5日</v>
      </c>
      <c r="I670" s="22">
        <f t="shared" si="25"/>
        <v>33943</v>
      </c>
      <c r="J670" s="1" t="str">
        <f>"00740047"</f>
        <v>00740047</v>
      </c>
      <c r="K670" s="1" t="str">
        <f>"５３２　　　　　　　　　　　　　　　　　"</f>
        <v>５３２　　　　　　　　　　　　　　　　　</v>
      </c>
      <c r="L670" s="1"/>
    </row>
    <row r="671" spans="1:12" ht="18" customHeight="1" x14ac:dyDescent="0.15">
      <c r="A671" s="11">
        <v>1828</v>
      </c>
      <c r="B671" s="11" t="s">
        <v>53</v>
      </c>
      <c r="C671" s="11" t="s">
        <v>156</v>
      </c>
      <c r="D671" s="11">
        <v>1</v>
      </c>
      <c r="E671" s="11" t="s">
        <v>4</v>
      </c>
      <c r="F671" s="12">
        <v>20600</v>
      </c>
      <c r="G671" s="12">
        <v>20600</v>
      </c>
      <c r="H671" s="11" t="str">
        <f t="shared" si="24"/>
        <v>平成4年12月5日</v>
      </c>
      <c r="I671" s="22">
        <f t="shared" si="25"/>
        <v>33943</v>
      </c>
      <c r="J671" s="1" t="str">
        <f>"00740049"</f>
        <v>00740049</v>
      </c>
      <c r="K671" s="1" t="str">
        <f>"５３３　　　　　　　　　　　　　　　　　"</f>
        <v>５３３　　　　　　　　　　　　　　　　　</v>
      </c>
      <c r="L671" s="1"/>
    </row>
    <row r="672" spans="1:12" ht="18" customHeight="1" x14ac:dyDescent="0.15">
      <c r="A672" s="11">
        <v>1829</v>
      </c>
      <c r="B672" s="11" t="s">
        <v>53</v>
      </c>
      <c r="C672" s="11" t="s">
        <v>156</v>
      </c>
      <c r="D672" s="11">
        <v>1</v>
      </c>
      <c r="E672" s="11" t="s">
        <v>4</v>
      </c>
      <c r="F672" s="12">
        <v>20600</v>
      </c>
      <c r="G672" s="12">
        <v>20600</v>
      </c>
      <c r="H672" s="11" t="str">
        <f t="shared" si="24"/>
        <v>平成4年12月5日</v>
      </c>
      <c r="I672" s="22">
        <f t="shared" si="25"/>
        <v>33943</v>
      </c>
      <c r="J672" s="1" t="str">
        <f>"00740050"</f>
        <v>00740050</v>
      </c>
      <c r="K672" s="1" t="str">
        <f>"５３４　　　　　　　　　　　　　　　　　"</f>
        <v>５３４　　　　　　　　　　　　　　　　　</v>
      </c>
      <c r="L672" s="1"/>
    </row>
    <row r="673" spans="1:12" ht="18" customHeight="1" x14ac:dyDescent="0.15">
      <c r="A673" s="11">
        <v>1830</v>
      </c>
      <c r="B673" s="11" t="s">
        <v>53</v>
      </c>
      <c r="C673" s="11" t="s">
        <v>156</v>
      </c>
      <c r="D673" s="11">
        <v>1</v>
      </c>
      <c r="E673" s="11" t="s">
        <v>4</v>
      </c>
      <c r="F673" s="12">
        <v>20600</v>
      </c>
      <c r="G673" s="12">
        <v>20600</v>
      </c>
      <c r="H673" s="11" t="str">
        <f t="shared" si="24"/>
        <v>平成4年12月5日</v>
      </c>
      <c r="I673" s="22">
        <f t="shared" si="25"/>
        <v>33943</v>
      </c>
      <c r="J673" s="1" t="str">
        <f>"00740053"</f>
        <v>00740053</v>
      </c>
      <c r="K673" s="1" t="str">
        <f>"５３５　　　　　　　　　　　　　　　　　"</f>
        <v>５３５　　　　　　　　　　　　　　　　　</v>
      </c>
      <c r="L673" s="1"/>
    </row>
    <row r="674" spans="1:12" ht="18" customHeight="1" x14ac:dyDescent="0.15">
      <c r="A674" s="11">
        <v>1831</v>
      </c>
      <c r="B674" s="11" t="s">
        <v>53</v>
      </c>
      <c r="C674" s="11" t="s">
        <v>156</v>
      </c>
      <c r="D674" s="11">
        <v>1</v>
      </c>
      <c r="E674" s="11" t="s">
        <v>4</v>
      </c>
      <c r="F674" s="12">
        <v>20600</v>
      </c>
      <c r="G674" s="12">
        <v>20600</v>
      </c>
      <c r="H674" s="11" t="str">
        <f t="shared" si="24"/>
        <v>平成4年12月5日</v>
      </c>
      <c r="I674" s="22">
        <f t="shared" si="25"/>
        <v>33943</v>
      </c>
      <c r="J674" s="1" t="str">
        <f>"00740055"</f>
        <v>00740055</v>
      </c>
      <c r="K674" s="1" t="str">
        <f>"５３６　　　　　　　　　　　　　　　　　"</f>
        <v>５３６　　　　　　　　　　　　　　　　　</v>
      </c>
      <c r="L674" s="1"/>
    </row>
    <row r="675" spans="1:12" ht="18" customHeight="1" x14ac:dyDescent="0.15">
      <c r="A675" s="11">
        <v>1832</v>
      </c>
      <c r="B675" s="11" t="s">
        <v>53</v>
      </c>
      <c r="C675" s="11" t="s">
        <v>156</v>
      </c>
      <c r="D675" s="11">
        <v>1</v>
      </c>
      <c r="E675" s="11" t="s">
        <v>4</v>
      </c>
      <c r="F675" s="12">
        <v>20600</v>
      </c>
      <c r="G675" s="12">
        <v>20600</v>
      </c>
      <c r="H675" s="11" t="str">
        <f t="shared" si="24"/>
        <v>平成4年12月5日</v>
      </c>
      <c r="I675" s="22">
        <f t="shared" si="25"/>
        <v>33943</v>
      </c>
      <c r="J675" s="1" t="str">
        <f>"00740057"</f>
        <v>00740057</v>
      </c>
      <c r="K675" s="1" t="str">
        <f>"５３７　　　　　　　　　　　　　　　　　"</f>
        <v>５３７　　　　　　　　　　　　　　　　　</v>
      </c>
      <c r="L675" s="1"/>
    </row>
    <row r="676" spans="1:12" ht="18" customHeight="1" x14ac:dyDescent="0.15">
      <c r="A676" s="11">
        <v>1833</v>
      </c>
      <c r="B676" s="11" t="s">
        <v>53</v>
      </c>
      <c r="C676" s="11" t="s">
        <v>156</v>
      </c>
      <c r="D676" s="11">
        <v>1</v>
      </c>
      <c r="E676" s="11" t="s">
        <v>4</v>
      </c>
      <c r="F676" s="12">
        <v>20600</v>
      </c>
      <c r="G676" s="12">
        <v>20600</v>
      </c>
      <c r="H676" s="11" t="str">
        <f t="shared" si="24"/>
        <v>平成4年12月5日</v>
      </c>
      <c r="I676" s="22">
        <f t="shared" si="25"/>
        <v>33943</v>
      </c>
      <c r="J676" s="1" t="str">
        <f>"00740059"</f>
        <v>00740059</v>
      </c>
      <c r="K676" s="1" t="str">
        <f>"５３８　　　　　　　　　　　　　　　　　"</f>
        <v>５３８　　　　　　　　　　　　　　　　　</v>
      </c>
      <c r="L676" s="1"/>
    </row>
    <row r="677" spans="1:12" ht="18" customHeight="1" x14ac:dyDescent="0.15">
      <c r="A677" s="11">
        <v>1834</v>
      </c>
      <c r="B677" s="11" t="s">
        <v>53</v>
      </c>
      <c r="C677" s="11" t="s">
        <v>156</v>
      </c>
      <c r="D677" s="11">
        <v>1</v>
      </c>
      <c r="E677" s="11" t="s">
        <v>4</v>
      </c>
      <c r="F677" s="12">
        <v>20600</v>
      </c>
      <c r="G677" s="12">
        <v>20600</v>
      </c>
      <c r="H677" s="11" t="str">
        <f t="shared" si="24"/>
        <v>平成4年12月5日</v>
      </c>
      <c r="I677" s="22">
        <f t="shared" si="25"/>
        <v>33943</v>
      </c>
      <c r="J677" s="1" t="str">
        <f>"00740061"</f>
        <v>00740061</v>
      </c>
      <c r="K677" s="1" t="str">
        <f>"５３９　　　　　　　　　　　　　　　　　"</f>
        <v>５３９　　　　　　　　　　　　　　　　　</v>
      </c>
      <c r="L677" s="1"/>
    </row>
    <row r="678" spans="1:12" ht="18" customHeight="1" x14ac:dyDescent="0.15">
      <c r="A678" s="11">
        <v>1835</v>
      </c>
      <c r="B678" s="11" t="s">
        <v>53</v>
      </c>
      <c r="C678" s="11" t="s">
        <v>156</v>
      </c>
      <c r="D678" s="11">
        <v>1</v>
      </c>
      <c r="E678" s="11" t="s">
        <v>4</v>
      </c>
      <c r="F678" s="12">
        <v>20600</v>
      </c>
      <c r="G678" s="12">
        <v>20600</v>
      </c>
      <c r="H678" s="11" t="str">
        <f t="shared" si="24"/>
        <v>平成4年12月5日</v>
      </c>
      <c r="I678" s="22">
        <f t="shared" si="25"/>
        <v>33943</v>
      </c>
      <c r="J678" s="1" t="str">
        <f>"00740063"</f>
        <v>00740063</v>
      </c>
      <c r="K678" s="1" t="str">
        <f>"５４０　　　　　　　　　　　　　　　　　"</f>
        <v>５４０　　　　　　　　　　　　　　　　　</v>
      </c>
      <c r="L678" s="1"/>
    </row>
    <row r="679" spans="1:12" ht="18" customHeight="1" x14ac:dyDescent="0.15">
      <c r="A679" s="11">
        <v>1836</v>
      </c>
      <c r="B679" s="11" t="s">
        <v>53</v>
      </c>
      <c r="C679" s="11" t="s">
        <v>156</v>
      </c>
      <c r="D679" s="11">
        <v>1</v>
      </c>
      <c r="E679" s="11" t="s">
        <v>4</v>
      </c>
      <c r="F679" s="12">
        <v>20600</v>
      </c>
      <c r="G679" s="12">
        <v>20600</v>
      </c>
      <c r="H679" s="11" t="str">
        <f t="shared" si="24"/>
        <v>平成4年12月5日</v>
      </c>
      <c r="I679" s="22">
        <f t="shared" si="25"/>
        <v>33943</v>
      </c>
      <c r="J679" s="1" t="str">
        <f>"00740064"</f>
        <v>00740064</v>
      </c>
      <c r="K679" s="1" t="str">
        <f>"５４１　　　　　　　　　　　　　　　　　"</f>
        <v>５４１　　　　　　　　　　　　　　　　　</v>
      </c>
      <c r="L679" s="1"/>
    </row>
    <row r="680" spans="1:12" ht="18" customHeight="1" x14ac:dyDescent="0.15">
      <c r="A680" s="11">
        <v>1837</v>
      </c>
      <c r="B680" s="11" t="s">
        <v>53</v>
      </c>
      <c r="C680" s="11" t="s">
        <v>156</v>
      </c>
      <c r="D680" s="11">
        <v>1</v>
      </c>
      <c r="E680" s="11" t="s">
        <v>4</v>
      </c>
      <c r="F680" s="12">
        <v>20600</v>
      </c>
      <c r="G680" s="12">
        <v>20600</v>
      </c>
      <c r="H680" s="11" t="str">
        <f t="shared" si="24"/>
        <v>平成4年12月5日</v>
      </c>
      <c r="I680" s="22">
        <f t="shared" si="25"/>
        <v>33943</v>
      </c>
      <c r="J680" s="1" t="str">
        <f>"00740067"</f>
        <v>00740067</v>
      </c>
      <c r="K680" s="1" t="str">
        <f>"５４２　　　　　　　　　　　　　　　　　"</f>
        <v>５４２　　　　　　　　　　　　　　　　　</v>
      </c>
      <c r="L680" s="1"/>
    </row>
    <row r="681" spans="1:12" ht="18" customHeight="1" x14ac:dyDescent="0.15">
      <c r="A681" s="11">
        <v>1838</v>
      </c>
      <c r="B681" s="11" t="s">
        <v>53</v>
      </c>
      <c r="C681" s="11" t="s">
        <v>156</v>
      </c>
      <c r="D681" s="11">
        <v>1</v>
      </c>
      <c r="E681" s="11" t="s">
        <v>4</v>
      </c>
      <c r="F681" s="12">
        <v>20600</v>
      </c>
      <c r="G681" s="12">
        <v>20600</v>
      </c>
      <c r="H681" s="11" t="str">
        <f t="shared" si="24"/>
        <v>平成4年12月5日</v>
      </c>
      <c r="I681" s="22">
        <f t="shared" si="25"/>
        <v>33943</v>
      </c>
      <c r="J681" s="1" t="str">
        <f>"00740069"</f>
        <v>00740069</v>
      </c>
      <c r="K681" s="1" t="str">
        <f>"５４３　　　　　　　　　　　　　　　　　"</f>
        <v>５４３　　　　　　　　　　　　　　　　　</v>
      </c>
      <c r="L681" s="1"/>
    </row>
    <row r="682" spans="1:12" ht="18" customHeight="1" x14ac:dyDescent="0.15">
      <c r="A682" s="11">
        <v>1839</v>
      </c>
      <c r="B682" s="11" t="s">
        <v>53</v>
      </c>
      <c r="C682" s="11" t="s">
        <v>156</v>
      </c>
      <c r="D682" s="11">
        <v>1</v>
      </c>
      <c r="E682" s="11" t="s">
        <v>4</v>
      </c>
      <c r="F682" s="12">
        <v>20600</v>
      </c>
      <c r="G682" s="12">
        <v>20600</v>
      </c>
      <c r="H682" s="11" t="str">
        <f t="shared" si="24"/>
        <v>平成4年12月5日</v>
      </c>
      <c r="I682" s="22">
        <f t="shared" si="25"/>
        <v>33943</v>
      </c>
      <c r="J682" s="1" t="str">
        <f>"00740071"</f>
        <v>00740071</v>
      </c>
      <c r="K682" s="1" t="str">
        <f>"５４４　　　　　　　　　　　　　　　　　"</f>
        <v>５４４　　　　　　　　　　　　　　　　　</v>
      </c>
      <c r="L682" s="1"/>
    </row>
    <row r="683" spans="1:12" ht="18" customHeight="1" x14ac:dyDescent="0.15">
      <c r="A683" s="11">
        <v>1840</v>
      </c>
      <c r="B683" s="11" t="s">
        <v>53</v>
      </c>
      <c r="C683" s="11" t="s">
        <v>156</v>
      </c>
      <c r="D683" s="11">
        <v>1</v>
      </c>
      <c r="E683" s="11" t="s">
        <v>4</v>
      </c>
      <c r="F683" s="12">
        <v>20600</v>
      </c>
      <c r="G683" s="12">
        <v>20600</v>
      </c>
      <c r="H683" s="11" t="str">
        <f t="shared" si="24"/>
        <v>平成4年12月5日</v>
      </c>
      <c r="I683" s="22">
        <f t="shared" si="25"/>
        <v>33943</v>
      </c>
      <c r="J683" s="1" t="str">
        <f>"00740073"</f>
        <v>00740073</v>
      </c>
      <c r="K683" s="1" t="str">
        <f>"５４５　　　　　　　　　　　　　　　　　"</f>
        <v>５４５　　　　　　　　　　　　　　　　　</v>
      </c>
      <c r="L683" s="1"/>
    </row>
    <row r="684" spans="1:12" ht="18" customHeight="1" x14ac:dyDescent="0.15">
      <c r="A684" s="11">
        <v>1841</v>
      </c>
      <c r="B684" s="11" t="s">
        <v>53</v>
      </c>
      <c r="C684" s="11" t="s">
        <v>156</v>
      </c>
      <c r="D684" s="11">
        <v>1</v>
      </c>
      <c r="E684" s="11" t="s">
        <v>4</v>
      </c>
      <c r="F684" s="12">
        <v>20600</v>
      </c>
      <c r="G684" s="12">
        <v>20600</v>
      </c>
      <c r="H684" s="11" t="str">
        <f t="shared" si="24"/>
        <v>平成4年12月5日</v>
      </c>
      <c r="I684" s="22">
        <f t="shared" si="25"/>
        <v>33943</v>
      </c>
      <c r="J684" s="1" t="str">
        <f>"00740075"</f>
        <v>00740075</v>
      </c>
      <c r="K684" s="1" t="str">
        <f>"５４６　　　　　　　　　　　　　　　　　"</f>
        <v>５４６　　　　　　　　　　　　　　　　　</v>
      </c>
      <c r="L684" s="1"/>
    </row>
    <row r="685" spans="1:12" ht="18" customHeight="1" x14ac:dyDescent="0.15">
      <c r="A685" s="11">
        <v>1842</v>
      </c>
      <c r="B685" s="11" t="s">
        <v>53</v>
      </c>
      <c r="C685" s="11" t="s">
        <v>156</v>
      </c>
      <c r="D685" s="11">
        <v>1</v>
      </c>
      <c r="E685" s="11" t="s">
        <v>4</v>
      </c>
      <c r="F685" s="12">
        <v>20600</v>
      </c>
      <c r="G685" s="12">
        <v>20600</v>
      </c>
      <c r="H685" s="11" t="str">
        <f t="shared" si="24"/>
        <v>平成4年12月5日</v>
      </c>
      <c r="I685" s="22">
        <f t="shared" si="25"/>
        <v>33943</v>
      </c>
      <c r="J685" s="1" t="str">
        <f>"00740077"</f>
        <v>00740077</v>
      </c>
      <c r="K685" s="1" t="str">
        <f>"５４７　　　　　　　　　　　　　　　　　"</f>
        <v>５４７　　　　　　　　　　　　　　　　　</v>
      </c>
      <c r="L685" s="1"/>
    </row>
    <row r="686" spans="1:12" ht="18" customHeight="1" x14ac:dyDescent="0.15">
      <c r="A686" s="11">
        <v>1843</v>
      </c>
      <c r="B686" s="11" t="s">
        <v>53</v>
      </c>
      <c r="C686" s="11" t="s">
        <v>156</v>
      </c>
      <c r="D686" s="11">
        <v>1</v>
      </c>
      <c r="E686" s="11" t="s">
        <v>4</v>
      </c>
      <c r="F686" s="12">
        <v>20600</v>
      </c>
      <c r="G686" s="12">
        <v>20600</v>
      </c>
      <c r="H686" s="11" t="str">
        <f t="shared" ref="H686:H749" si="26">"平成4年12月5日"</f>
        <v>平成4年12月5日</v>
      </c>
      <c r="I686" s="22">
        <f t="shared" si="25"/>
        <v>33943</v>
      </c>
      <c r="J686" s="1" t="str">
        <f>"00740079"</f>
        <v>00740079</v>
      </c>
      <c r="K686" s="1" t="str">
        <f>"５４８　　　　　　　　　　　　　　　　　"</f>
        <v>５４８　　　　　　　　　　　　　　　　　</v>
      </c>
      <c r="L686" s="1"/>
    </row>
    <row r="687" spans="1:12" ht="18" customHeight="1" x14ac:dyDescent="0.15">
      <c r="A687" s="11">
        <v>1844</v>
      </c>
      <c r="B687" s="11" t="s">
        <v>53</v>
      </c>
      <c r="C687" s="11" t="s">
        <v>156</v>
      </c>
      <c r="D687" s="11">
        <v>1</v>
      </c>
      <c r="E687" s="11" t="s">
        <v>4</v>
      </c>
      <c r="F687" s="12">
        <v>20600</v>
      </c>
      <c r="G687" s="12">
        <v>20600</v>
      </c>
      <c r="H687" s="11" t="str">
        <f t="shared" si="26"/>
        <v>平成4年12月5日</v>
      </c>
      <c r="I687" s="22">
        <f t="shared" si="25"/>
        <v>33943</v>
      </c>
      <c r="J687" s="1" t="str">
        <f>"00740081"</f>
        <v>00740081</v>
      </c>
      <c r="K687" s="1" t="str">
        <f>"５４９　　　　　　　　　　　　　　　　　"</f>
        <v>５４９　　　　　　　　　　　　　　　　　</v>
      </c>
      <c r="L687" s="1"/>
    </row>
    <row r="688" spans="1:12" ht="18" customHeight="1" x14ac:dyDescent="0.15">
      <c r="A688" s="11">
        <v>1845</v>
      </c>
      <c r="B688" s="11" t="s">
        <v>53</v>
      </c>
      <c r="C688" s="11" t="s">
        <v>156</v>
      </c>
      <c r="D688" s="11">
        <v>1</v>
      </c>
      <c r="E688" s="11" t="s">
        <v>4</v>
      </c>
      <c r="F688" s="12">
        <v>20600</v>
      </c>
      <c r="G688" s="12">
        <v>20600</v>
      </c>
      <c r="H688" s="11" t="str">
        <f t="shared" si="26"/>
        <v>平成4年12月5日</v>
      </c>
      <c r="I688" s="22">
        <f t="shared" si="25"/>
        <v>33943</v>
      </c>
      <c r="J688" s="1" t="str">
        <f>"00740083"</f>
        <v>00740083</v>
      </c>
      <c r="K688" s="1" t="str">
        <f>"５５０　　　　　　　　　　　　　　　　　"</f>
        <v>５５０　　　　　　　　　　　　　　　　　</v>
      </c>
      <c r="L688" s="1"/>
    </row>
    <row r="689" spans="1:12" ht="18" customHeight="1" x14ac:dyDescent="0.15">
      <c r="A689" s="11">
        <v>1846</v>
      </c>
      <c r="B689" s="11" t="s">
        <v>53</v>
      </c>
      <c r="C689" s="11" t="s">
        <v>156</v>
      </c>
      <c r="D689" s="11">
        <v>1</v>
      </c>
      <c r="E689" s="11" t="s">
        <v>4</v>
      </c>
      <c r="F689" s="12">
        <v>20600</v>
      </c>
      <c r="G689" s="12">
        <v>20600</v>
      </c>
      <c r="H689" s="11" t="str">
        <f t="shared" si="26"/>
        <v>平成4年12月5日</v>
      </c>
      <c r="I689" s="22">
        <f t="shared" si="25"/>
        <v>33943</v>
      </c>
      <c r="J689" s="1" t="str">
        <f>"00740085"</f>
        <v>00740085</v>
      </c>
      <c r="K689" s="1" t="str">
        <f>"５５１　　　　　　　　　　　　　　　　　"</f>
        <v>５５１　　　　　　　　　　　　　　　　　</v>
      </c>
      <c r="L689" s="1"/>
    </row>
    <row r="690" spans="1:12" ht="18" customHeight="1" x14ac:dyDescent="0.15">
      <c r="A690" s="11">
        <v>1847</v>
      </c>
      <c r="B690" s="11" t="s">
        <v>53</v>
      </c>
      <c r="C690" s="11" t="s">
        <v>156</v>
      </c>
      <c r="D690" s="11">
        <v>1</v>
      </c>
      <c r="E690" s="11" t="s">
        <v>4</v>
      </c>
      <c r="F690" s="12">
        <v>20600</v>
      </c>
      <c r="G690" s="12">
        <v>20600</v>
      </c>
      <c r="H690" s="11" t="str">
        <f t="shared" si="26"/>
        <v>平成4年12月5日</v>
      </c>
      <c r="I690" s="22">
        <f t="shared" si="25"/>
        <v>33943</v>
      </c>
      <c r="J690" s="1" t="str">
        <f>"00740087"</f>
        <v>00740087</v>
      </c>
      <c r="K690" s="1" t="str">
        <f>"５５２　　　　　　　　　　　　　　　　　"</f>
        <v>５５２　　　　　　　　　　　　　　　　　</v>
      </c>
      <c r="L690" s="1"/>
    </row>
    <row r="691" spans="1:12" ht="18" customHeight="1" x14ac:dyDescent="0.15">
      <c r="A691" s="11">
        <v>1848</v>
      </c>
      <c r="B691" s="11" t="s">
        <v>53</v>
      </c>
      <c r="C691" s="11" t="s">
        <v>156</v>
      </c>
      <c r="D691" s="11">
        <v>1</v>
      </c>
      <c r="E691" s="11" t="s">
        <v>4</v>
      </c>
      <c r="F691" s="12">
        <v>20600</v>
      </c>
      <c r="G691" s="12">
        <v>20600</v>
      </c>
      <c r="H691" s="11" t="str">
        <f t="shared" si="26"/>
        <v>平成4年12月5日</v>
      </c>
      <c r="I691" s="22">
        <f t="shared" si="25"/>
        <v>33943</v>
      </c>
      <c r="J691" s="1" t="str">
        <f>"00740089"</f>
        <v>00740089</v>
      </c>
      <c r="K691" s="1" t="str">
        <f>"５５３　　　　　　　　　　　　　　　　　"</f>
        <v>５５３　　　　　　　　　　　　　　　　　</v>
      </c>
      <c r="L691" s="1"/>
    </row>
    <row r="692" spans="1:12" ht="18" customHeight="1" x14ac:dyDescent="0.15">
      <c r="A692" s="11">
        <v>1849</v>
      </c>
      <c r="B692" s="11" t="s">
        <v>53</v>
      </c>
      <c r="C692" s="11" t="s">
        <v>156</v>
      </c>
      <c r="D692" s="11">
        <v>1</v>
      </c>
      <c r="E692" s="11" t="s">
        <v>4</v>
      </c>
      <c r="F692" s="12">
        <v>20600</v>
      </c>
      <c r="G692" s="12">
        <v>20600</v>
      </c>
      <c r="H692" s="11" t="str">
        <f t="shared" si="26"/>
        <v>平成4年12月5日</v>
      </c>
      <c r="I692" s="22">
        <f t="shared" si="25"/>
        <v>33943</v>
      </c>
      <c r="J692" s="1" t="str">
        <f>"00740091"</f>
        <v>00740091</v>
      </c>
      <c r="K692" s="1" t="str">
        <f>"５５４　　　　　　　　　　　　　　　　　"</f>
        <v>５５４　　　　　　　　　　　　　　　　　</v>
      </c>
      <c r="L692" s="1"/>
    </row>
    <row r="693" spans="1:12" ht="18" customHeight="1" x14ac:dyDescent="0.15">
      <c r="A693" s="11">
        <v>1850</v>
      </c>
      <c r="B693" s="11" t="s">
        <v>53</v>
      </c>
      <c r="C693" s="11" t="s">
        <v>156</v>
      </c>
      <c r="D693" s="11">
        <v>1</v>
      </c>
      <c r="E693" s="11" t="s">
        <v>4</v>
      </c>
      <c r="F693" s="12">
        <v>20600</v>
      </c>
      <c r="G693" s="12">
        <v>20600</v>
      </c>
      <c r="H693" s="11" t="str">
        <f t="shared" si="26"/>
        <v>平成4年12月5日</v>
      </c>
      <c r="I693" s="22">
        <f t="shared" si="25"/>
        <v>33943</v>
      </c>
      <c r="J693" s="1" t="str">
        <f>"00740093"</f>
        <v>00740093</v>
      </c>
      <c r="K693" s="1" t="str">
        <f>"５５５　　　　　　　　　　　　　　　　　"</f>
        <v>５５５　　　　　　　　　　　　　　　　　</v>
      </c>
      <c r="L693" s="1"/>
    </row>
    <row r="694" spans="1:12" ht="18" customHeight="1" x14ac:dyDescent="0.15">
      <c r="A694" s="11">
        <v>1851</v>
      </c>
      <c r="B694" s="11" t="s">
        <v>53</v>
      </c>
      <c r="C694" s="11" t="s">
        <v>156</v>
      </c>
      <c r="D694" s="11">
        <v>1</v>
      </c>
      <c r="E694" s="11" t="s">
        <v>4</v>
      </c>
      <c r="F694" s="12">
        <v>20600</v>
      </c>
      <c r="G694" s="12">
        <v>20600</v>
      </c>
      <c r="H694" s="11" t="str">
        <f t="shared" si="26"/>
        <v>平成4年12月5日</v>
      </c>
      <c r="I694" s="22">
        <f t="shared" si="25"/>
        <v>33943</v>
      </c>
      <c r="J694" s="1" t="str">
        <f>"00740095"</f>
        <v>00740095</v>
      </c>
      <c r="K694" s="1" t="str">
        <f>"５５６　　　　　　　　　　　　　　　　　"</f>
        <v>５５６　　　　　　　　　　　　　　　　　</v>
      </c>
      <c r="L694" s="1"/>
    </row>
    <row r="695" spans="1:12" ht="18" customHeight="1" x14ac:dyDescent="0.15">
      <c r="A695" s="11">
        <v>1852</v>
      </c>
      <c r="B695" s="11" t="s">
        <v>53</v>
      </c>
      <c r="C695" s="11" t="s">
        <v>156</v>
      </c>
      <c r="D695" s="11">
        <v>1</v>
      </c>
      <c r="E695" s="11" t="s">
        <v>4</v>
      </c>
      <c r="F695" s="12">
        <v>20600</v>
      </c>
      <c r="G695" s="12">
        <v>20600</v>
      </c>
      <c r="H695" s="11" t="str">
        <f t="shared" si="26"/>
        <v>平成4年12月5日</v>
      </c>
      <c r="I695" s="22">
        <f t="shared" si="25"/>
        <v>33943</v>
      </c>
      <c r="J695" s="1" t="str">
        <f>"00740097"</f>
        <v>00740097</v>
      </c>
      <c r="K695" s="1" t="str">
        <f>"５５７　　　　　　　　　　　　　　　　　"</f>
        <v>５５７　　　　　　　　　　　　　　　　　</v>
      </c>
      <c r="L695" s="1"/>
    </row>
    <row r="696" spans="1:12" ht="18" customHeight="1" x14ac:dyDescent="0.15">
      <c r="A696" s="11">
        <v>1853</v>
      </c>
      <c r="B696" s="11" t="s">
        <v>53</v>
      </c>
      <c r="C696" s="11" t="s">
        <v>156</v>
      </c>
      <c r="D696" s="11">
        <v>1</v>
      </c>
      <c r="E696" s="11" t="s">
        <v>4</v>
      </c>
      <c r="F696" s="12">
        <v>20600</v>
      </c>
      <c r="G696" s="12">
        <v>20600</v>
      </c>
      <c r="H696" s="11" t="str">
        <f t="shared" si="26"/>
        <v>平成4年12月5日</v>
      </c>
      <c r="I696" s="22">
        <f t="shared" si="25"/>
        <v>33943</v>
      </c>
      <c r="J696" s="1" t="str">
        <f>"00740099"</f>
        <v>00740099</v>
      </c>
      <c r="K696" s="1" t="str">
        <f>"５５８　　　　　　　　　　　　　　　　　"</f>
        <v>５５８　　　　　　　　　　　　　　　　　</v>
      </c>
      <c r="L696" s="1"/>
    </row>
    <row r="697" spans="1:12" ht="18" customHeight="1" x14ac:dyDescent="0.15">
      <c r="A697" s="11">
        <v>1854</v>
      </c>
      <c r="B697" s="11" t="s">
        <v>53</v>
      </c>
      <c r="C697" s="11" t="s">
        <v>156</v>
      </c>
      <c r="D697" s="11">
        <v>1</v>
      </c>
      <c r="E697" s="11" t="s">
        <v>4</v>
      </c>
      <c r="F697" s="12">
        <v>20600</v>
      </c>
      <c r="G697" s="12">
        <v>20600</v>
      </c>
      <c r="H697" s="11" t="str">
        <f t="shared" si="26"/>
        <v>平成4年12月5日</v>
      </c>
      <c r="I697" s="22">
        <f t="shared" si="25"/>
        <v>33943</v>
      </c>
      <c r="J697" s="1" t="str">
        <f>"00740101"</f>
        <v>00740101</v>
      </c>
      <c r="K697" s="1" t="str">
        <f>"５５９　　　　　　　　　　　　　　　　　"</f>
        <v>５５９　　　　　　　　　　　　　　　　　</v>
      </c>
      <c r="L697" s="1"/>
    </row>
    <row r="698" spans="1:12" ht="18" customHeight="1" x14ac:dyDescent="0.15">
      <c r="A698" s="11">
        <v>1855</v>
      </c>
      <c r="B698" s="11" t="s">
        <v>53</v>
      </c>
      <c r="C698" s="11" t="s">
        <v>156</v>
      </c>
      <c r="D698" s="11">
        <v>1</v>
      </c>
      <c r="E698" s="11" t="s">
        <v>4</v>
      </c>
      <c r="F698" s="12">
        <v>20600</v>
      </c>
      <c r="G698" s="12">
        <v>20600</v>
      </c>
      <c r="H698" s="11" t="str">
        <f t="shared" si="26"/>
        <v>平成4年12月5日</v>
      </c>
      <c r="I698" s="22">
        <f t="shared" si="25"/>
        <v>33943</v>
      </c>
      <c r="J698" s="1" t="str">
        <f>"00740103"</f>
        <v>00740103</v>
      </c>
      <c r="K698" s="1" t="str">
        <f>"５６０　　　　　　　　　　　　　　　　　"</f>
        <v>５６０　　　　　　　　　　　　　　　　　</v>
      </c>
      <c r="L698" s="1"/>
    </row>
    <row r="699" spans="1:12" ht="18" customHeight="1" x14ac:dyDescent="0.15">
      <c r="A699" s="11">
        <v>1856</v>
      </c>
      <c r="B699" s="11" t="s">
        <v>53</v>
      </c>
      <c r="C699" s="11" t="s">
        <v>156</v>
      </c>
      <c r="D699" s="11">
        <v>1</v>
      </c>
      <c r="E699" s="11" t="s">
        <v>4</v>
      </c>
      <c r="F699" s="12">
        <v>20600</v>
      </c>
      <c r="G699" s="12">
        <v>20600</v>
      </c>
      <c r="H699" s="11" t="str">
        <f t="shared" si="26"/>
        <v>平成4年12月5日</v>
      </c>
      <c r="I699" s="22">
        <f t="shared" si="25"/>
        <v>33943</v>
      </c>
      <c r="J699" s="1" t="str">
        <f>"00740105"</f>
        <v>00740105</v>
      </c>
      <c r="K699" s="1" t="str">
        <f>"５６１　　　　　　　　　　　　　　　　　"</f>
        <v>５６１　　　　　　　　　　　　　　　　　</v>
      </c>
      <c r="L699" s="1"/>
    </row>
    <row r="700" spans="1:12" ht="18" customHeight="1" x14ac:dyDescent="0.15">
      <c r="A700" s="11">
        <v>1857</v>
      </c>
      <c r="B700" s="11" t="s">
        <v>53</v>
      </c>
      <c r="C700" s="11" t="s">
        <v>156</v>
      </c>
      <c r="D700" s="11">
        <v>1</v>
      </c>
      <c r="E700" s="11" t="s">
        <v>4</v>
      </c>
      <c r="F700" s="12">
        <v>20600</v>
      </c>
      <c r="G700" s="12">
        <v>20600</v>
      </c>
      <c r="H700" s="11" t="str">
        <f t="shared" si="26"/>
        <v>平成4年12月5日</v>
      </c>
      <c r="I700" s="22">
        <f t="shared" si="25"/>
        <v>33943</v>
      </c>
      <c r="J700" s="1" t="str">
        <f>"00740107"</f>
        <v>00740107</v>
      </c>
      <c r="K700" s="1" t="str">
        <f>"５６２　　　　　　　　　　　　　　　　　"</f>
        <v>５６２　　　　　　　　　　　　　　　　　</v>
      </c>
      <c r="L700" s="1"/>
    </row>
    <row r="701" spans="1:12" ht="18" customHeight="1" x14ac:dyDescent="0.15">
      <c r="A701" s="11">
        <v>1858</v>
      </c>
      <c r="B701" s="11" t="s">
        <v>53</v>
      </c>
      <c r="C701" s="11" t="s">
        <v>156</v>
      </c>
      <c r="D701" s="11">
        <v>1</v>
      </c>
      <c r="E701" s="11" t="s">
        <v>4</v>
      </c>
      <c r="F701" s="12">
        <v>20600</v>
      </c>
      <c r="G701" s="12">
        <v>20600</v>
      </c>
      <c r="H701" s="11" t="str">
        <f t="shared" si="26"/>
        <v>平成4年12月5日</v>
      </c>
      <c r="I701" s="22">
        <f t="shared" si="25"/>
        <v>33943</v>
      </c>
      <c r="J701" s="1" t="str">
        <f>"00740109"</f>
        <v>00740109</v>
      </c>
      <c r="K701" s="1" t="str">
        <f>"５６３　　　　　　　　　　　　　　　　　"</f>
        <v>５６３　　　　　　　　　　　　　　　　　</v>
      </c>
      <c r="L701" s="1"/>
    </row>
    <row r="702" spans="1:12" ht="18" customHeight="1" x14ac:dyDescent="0.15">
      <c r="A702" s="11">
        <v>1859</v>
      </c>
      <c r="B702" s="11" t="s">
        <v>53</v>
      </c>
      <c r="C702" s="11" t="s">
        <v>156</v>
      </c>
      <c r="D702" s="11">
        <v>1</v>
      </c>
      <c r="E702" s="11" t="s">
        <v>4</v>
      </c>
      <c r="F702" s="12">
        <v>20600</v>
      </c>
      <c r="G702" s="12">
        <v>20600</v>
      </c>
      <c r="H702" s="11" t="str">
        <f t="shared" si="26"/>
        <v>平成4年12月5日</v>
      </c>
      <c r="I702" s="22">
        <f t="shared" si="25"/>
        <v>33943</v>
      </c>
      <c r="J702" s="1" t="str">
        <f>"00740111"</f>
        <v>00740111</v>
      </c>
      <c r="K702" s="1" t="str">
        <f>"５６４　　　　　　　　　　　　　　　　　"</f>
        <v>５６４　　　　　　　　　　　　　　　　　</v>
      </c>
      <c r="L702" s="1"/>
    </row>
    <row r="703" spans="1:12" ht="18" customHeight="1" x14ac:dyDescent="0.15">
      <c r="A703" s="11">
        <v>1860</v>
      </c>
      <c r="B703" s="11" t="s">
        <v>53</v>
      </c>
      <c r="C703" s="11" t="s">
        <v>156</v>
      </c>
      <c r="D703" s="11">
        <v>1</v>
      </c>
      <c r="E703" s="11" t="s">
        <v>4</v>
      </c>
      <c r="F703" s="12">
        <v>20600</v>
      </c>
      <c r="G703" s="12">
        <v>20600</v>
      </c>
      <c r="H703" s="11" t="str">
        <f t="shared" si="26"/>
        <v>平成4年12月5日</v>
      </c>
      <c r="I703" s="22">
        <f t="shared" si="25"/>
        <v>33943</v>
      </c>
      <c r="J703" s="1" t="str">
        <f>"00740113"</f>
        <v>00740113</v>
      </c>
      <c r="K703" s="1" t="str">
        <f>"５６５　　　　　　　　　　　　　　　　　"</f>
        <v>５６５　　　　　　　　　　　　　　　　　</v>
      </c>
      <c r="L703" s="1"/>
    </row>
    <row r="704" spans="1:12" ht="18" customHeight="1" x14ac:dyDescent="0.15">
      <c r="A704" s="11">
        <v>1861</v>
      </c>
      <c r="B704" s="11" t="s">
        <v>53</v>
      </c>
      <c r="C704" s="11" t="s">
        <v>156</v>
      </c>
      <c r="D704" s="11">
        <v>1</v>
      </c>
      <c r="E704" s="11" t="s">
        <v>4</v>
      </c>
      <c r="F704" s="12">
        <v>20600</v>
      </c>
      <c r="G704" s="12">
        <v>20600</v>
      </c>
      <c r="H704" s="11" t="str">
        <f t="shared" si="26"/>
        <v>平成4年12月5日</v>
      </c>
      <c r="I704" s="22">
        <f t="shared" si="25"/>
        <v>33943</v>
      </c>
      <c r="J704" s="1" t="str">
        <f>"00740115"</f>
        <v>00740115</v>
      </c>
      <c r="K704" s="1" t="str">
        <f>"５６６　　　　　　　　　　　　　　　　　"</f>
        <v>５６６　　　　　　　　　　　　　　　　　</v>
      </c>
      <c r="L704" s="1"/>
    </row>
    <row r="705" spans="1:12" ht="18" customHeight="1" x14ac:dyDescent="0.15">
      <c r="A705" s="11">
        <v>1862</v>
      </c>
      <c r="B705" s="11" t="s">
        <v>53</v>
      </c>
      <c r="C705" s="11" t="s">
        <v>156</v>
      </c>
      <c r="D705" s="11">
        <v>1</v>
      </c>
      <c r="E705" s="11" t="s">
        <v>4</v>
      </c>
      <c r="F705" s="12">
        <v>20600</v>
      </c>
      <c r="G705" s="12">
        <v>20600</v>
      </c>
      <c r="H705" s="11" t="str">
        <f t="shared" si="26"/>
        <v>平成4年12月5日</v>
      </c>
      <c r="I705" s="22">
        <f t="shared" si="25"/>
        <v>33943</v>
      </c>
      <c r="J705" s="1" t="str">
        <f>"00740117"</f>
        <v>00740117</v>
      </c>
      <c r="K705" s="1" t="str">
        <f>"５６７　　　　　　　　　　　　　　　　　"</f>
        <v>５６７　　　　　　　　　　　　　　　　　</v>
      </c>
      <c r="L705" s="1"/>
    </row>
    <row r="706" spans="1:12" ht="18" customHeight="1" x14ac:dyDescent="0.15">
      <c r="A706" s="11">
        <v>1863</v>
      </c>
      <c r="B706" s="11" t="s">
        <v>53</v>
      </c>
      <c r="C706" s="11" t="s">
        <v>156</v>
      </c>
      <c r="D706" s="11">
        <v>1</v>
      </c>
      <c r="E706" s="11" t="s">
        <v>4</v>
      </c>
      <c r="F706" s="12">
        <v>20600</v>
      </c>
      <c r="G706" s="12">
        <v>20600</v>
      </c>
      <c r="H706" s="11" t="str">
        <f t="shared" si="26"/>
        <v>平成4年12月5日</v>
      </c>
      <c r="I706" s="22">
        <f t="shared" si="25"/>
        <v>33943</v>
      </c>
      <c r="J706" s="1" t="str">
        <f>"00740119"</f>
        <v>00740119</v>
      </c>
      <c r="K706" s="1" t="str">
        <f>"５６８　　　　　　　　　　　　　　　　　"</f>
        <v>５６８　　　　　　　　　　　　　　　　　</v>
      </c>
      <c r="L706" s="1"/>
    </row>
    <row r="707" spans="1:12" ht="18" customHeight="1" x14ac:dyDescent="0.15">
      <c r="A707" s="11">
        <v>1864</v>
      </c>
      <c r="B707" s="11" t="s">
        <v>53</v>
      </c>
      <c r="C707" s="11" t="s">
        <v>156</v>
      </c>
      <c r="D707" s="11">
        <v>1</v>
      </c>
      <c r="E707" s="11" t="s">
        <v>4</v>
      </c>
      <c r="F707" s="12">
        <v>20600</v>
      </c>
      <c r="G707" s="12">
        <v>20600</v>
      </c>
      <c r="H707" s="11" t="str">
        <f t="shared" si="26"/>
        <v>平成4年12月5日</v>
      </c>
      <c r="I707" s="22">
        <f t="shared" si="25"/>
        <v>33943</v>
      </c>
      <c r="J707" s="1" t="str">
        <f>"00740121"</f>
        <v>00740121</v>
      </c>
      <c r="K707" s="1" t="str">
        <f>"５６９　　　　　　　　　　　　　　　　　"</f>
        <v>５６９　　　　　　　　　　　　　　　　　</v>
      </c>
      <c r="L707" s="1"/>
    </row>
    <row r="708" spans="1:12" ht="18" customHeight="1" x14ac:dyDescent="0.15">
      <c r="A708" s="11">
        <v>1865</v>
      </c>
      <c r="B708" s="11" t="s">
        <v>53</v>
      </c>
      <c r="C708" s="11" t="s">
        <v>156</v>
      </c>
      <c r="D708" s="11">
        <v>1</v>
      </c>
      <c r="E708" s="11" t="s">
        <v>4</v>
      </c>
      <c r="F708" s="12">
        <v>20600</v>
      </c>
      <c r="G708" s="12">
        <v>20600</v>
      </c>
      <c r="H708" s="11" t="str">
        <f t="shared" si="26"/>
        <v>平成4年12月5日</v>
      </c>
      <c r="I708" s="22">
        <f t="shared" si="25"/>
        <v>33943</v>
      </c>
      <c r="J708" s="1" t="str">
        <f>"00740123"</f>
        <v>00740123</v>
      </c>
      <c r="K708" s="1" t="str">
        <f>"５７１　　　　　　　　　　　　　　　　　"</f>
        <v>５７１　　　　　　　　　　　　　　　　　</v>
      </c>
      <c r="L708" s="1"/>
    </row>
    <row r="709" spans="1:12" ht="18" customHeight="1" x14ac:dyDescent="0.15">
      <c r="A709" s="11">
        <v>1866</v>
      </c>
      <c r="B709" s="11" t="s">
        <v>53</v>
      </c>
      <c r="C709" s="11" t="s">
        <v>156</v>
      </c>
      <c r="D709" s="11">
        <v>1</v>
      </c>
      <c r="E709" s="11" t="s">
        <v>4</v>
      </c>
      <c r="F709" s="12">
        <v>20600</v>
      </c>
      <c r="G709" s="12">
        <v>20600</v>
      </c>
      <c r="H709" s="11" t="str">
        <f t="shared" si="26"/>
        <v>平成4年12月5日</v>
      </c>
      <c r="I709" s="22">
        <f t="shared" si="25"/>
        <v>33943</v>
      </c>
      <c r="J709" s="1" t="str">
        <f>"00740125"</f>
        <v>00740125</v>
      </c>
      <c r="K709" s="1" t="str">
        <f>"５７２　　　　　　　　　　　　　　　　　"</f>
        <v>５７２　　　　　　　　　　　　　　　　　</v>
      </c>
      <c r="L709" s="1"/>
    </row>
    <row r="710" spans="1:12" ht="18" customHeight="1" x14ac:dyDescent="0.15">
      <c r="A710" s="11">
        <v>1867</v>
      </c>
      <c r="B710" s="11" t="s">
        <v>53</v>
      </c>
      <c r="C710" s="11" t="s">
        <v>156</v>
      </c>
      <c r="D710" s="11">
        <v>1</v>
      </c>
      <c r="E710" s="11" t="s">
        <v>4</v>
      </c>
      <c r="F710" s="12">
        <v>20600</v>
      </c>
      <c r="G710" s="12">
        <v>20600</v>
      </c>
      <c r="H710" s="11" t="str">
        <f t="shared" si="26"/>
        <v>平成4年12月5日</v>
      </c>
      <c r="I710" s="22">
        <f t="shared" si="25"/>
        <v>33943</v>
      </c>
      <c r="J710" s="1" t="str">
        <f>"00740127"</f>
        <v>00740127</v>
      </c>
      <c r="K710" s="1" t="str">
        <f>"５７３　　　　　　　　　　　　　　　　　"</f>
        <v>５７３　　　　　　　　　　　　　　　　　</v>
      </c>
      <c r="L710" s="1"/>
    </row>
    <row r="711" spans="1:12" ht="18" customHeight="1" x14ac:dyDescent="0.15">
      <c r="A711" s="11">
        <v>1868</v>
      </c>
      <c r="B711" s="11" t="s">
        <v>53</v>
      </c>
      <c r="C711" s="11" t="s">
        <v>156</v>
      </c>
      <c r="D711" s="11">
        <v>1</v>
      </c>
      <c r="E711" s="11" t="s">
        <v>4</v>
      </c>
      <c r="F711" s="12">
        <v>20600</v>
      </c>
      <c r="G711" s="12">
        <v>20600</v>
      </c>
      <c r="H711" s="11" t="str">
        <f t="shared" si="26"/>
        <v>平成4年12月5日</v>
      </c>
      <c r="I711" s="22">
        <f t="shared" si="25"/>
        <v>33943</v>
      </c>
      <c r="J711" s="1" t="str">
        <f>"00740129"</f>
        <v>00740129</v>
      </c>
      <c r="K711" s="1" t="str">
        <f>"５７４　　　　　　　　　　　　　　　　　"</f>
        <v>５７４　　　　　　　　　　　　　　　　　</v>
      </c>
      <c r="L711" s="1"/>
    </row>
    <row r="712" spans="1:12" ht="18" customHeight="1" x14ac:dyDescent="0.15">
      <c r="A712" s="11">
        <v>1869</v>
      </c>
      <c r="B712" s="11" t="s">
        <v>53</v>
      </c>
      <c r="C712" s="11" t="s">
        <v>156</v>
      </c>
      <c r="D712" s="11">
        <v>1</v>
      </c>
      <c r="E712" s="11" t="s">
        <v>4</v>
      </c>
      <c r="F712" s="12">
        <v>20600</v>
      </c>
      <c r="G712" s="12">
        <v>20600</v>
      </c>
      <c r="H712" s="11" t="str">
        <f t="shared" si="26"/>
        <v>平成4年12月5日</v>
      </c>
      <c r="I712" s="22">
        <f t="shared" si="25"/>
        <v>33943</v>
      </c>
      <c r="J712" s="1" t="str">
        <f>"00740131"</f>
        <v>00740131</v>
      </c>
      <c r="K712" s="1" t="str">
        <f>"５７５　　　　　　　　　　　　　　　　　"</f>
        <v>５７５　　　　　　　　　　　　　　　　　</v>
      </c>
      <c r="L712" s="1"/>
    </row>
    <row r="713" spans="1:12" ht="18" customHeight="1" x14ac:dyDescent="0.15">
      <c r="A713" s="11">
        <v>1870</v>
      </c>
      <c r="B713" s="11" t="s">
        <v>53</v>
      </c>
      <c r="C713" s="11" t="s">
        <v>156</v>
      </c>
      <c r="D713" s="11">
        <v>1</v>
      </c>
      <c r="E713" s="11" t="s">
        <v>4</v>
      </c>
      <c r="F713" s="12">
        <v>20600</v>
      </c>
      <c r="G713" s="12">
        <v>20600</v>
      </c>
      <c r="H713" s="11" t="str">
        <f t="shared" si="26"/>
        <v>平成4年12月5日</v>
      </c>
      <c r="I713" s="22">
        <f t="shared" si="25"/>
        <v>33943</v>
      </c>
      <c r="J713" s="1" t="str">
        <f>"00740133"</f>
        <v>00740133</v>
      </c>
      <c r="K713" s="1" t="str">
        <f>"５７６　　　　　　　　　　　　　　　　　"</f>
        <v>５７６　　　　　　　　　　　　　　　　　</v>
      </c>
      <c r="L713" s="1"/>
    </row>
    <row r="714" spans="1:12" ht="18" customHeight="1" x14ac:dyDescent="0.15">
      <c r="A714" s="11">
        <v>1871</v>
      </c>
      <c r="B714" s="11" t="s">
        <v>53</v>
      </c>
      <c r="C714" s="11" t="s">
        <v>156</v>
      </c>
      <c r="D714" s="11">
        <v>1</v>
      </c>
      <c r="E714" s="11" t="s">
        <v>4</v>
      </c>
      <c r="F714" s="12">
        <v>20600</v>
      </c>
      <c r="G714" s="12">
        <v>20600</v>
      </c>
      <c r="H714" s="11" t="str">
        <f t="shared" si="26"/>
        <v>平成4年12月5日</v>
      </c>
      <c r="I714" s="22">
        <f t="shared" si="25"/>
        <v>33943</v>
      </c>
      <c r="J714" s="1" t="str">
        <f>"00740135"</f>
        <v>00740135</v>
      </c>
      <c r="K714" s="1" t="str">
        <f>"５７７　　　　　　　　　　　　　　　　　"</f>
        <v>５７７　　　　　　　　　　　　　　　　　</v>
      </c>
      <c r="L714" s="1"/>
    </row>
    <row r="715" spans="1:12" ht="18" customHeight="1" x14ac:dyDescent="0.15">
      <c r="A715" s="11">
        <v>1872</v>
      </c>
      <c r="B715" s="11" t="s">
        <v>53</v>
      </c>
      <c r="C715" s="11" t="s">
        <v>156</v>
      </c>
      <c r="D715" s="11">
        <v>1</v>
      </c>
      <c r="E715" s="11" t="s">
        <v>4</v>
      </c>
      <c r="F715" s="12">
        <v>20600</v>
      </c>
      <c r="G715" s="12">
        <v>20600</v>
      </c>
      <c r="H715" s="11" t="str">
        <f t="shared" si="26"/>
        <v>平成4年12月5日</v>
      </c>
      <c r="I715" s="22">
        <f t="shared" si="25"/>
        <v>33943</v>
      </c>
      <c r="J715" s="1" t="str">
        <f>"00740137"</f>
        <v>00740137</v>
      </c>
      <c r="K715" s="1" t="str">
        <f>"５７８　　　　　　　　　　　　　　　　　"</f>
        <v>５７８　　　　　　　　　　　　　　　　　</v>
      </c>
      <c r="L715" s="1"/>
    </row>
    <row r="716" spans="1:12" ht="18" customHeight="1" x14ac:dyDescent="0.15">
      <c r="A716" s="11">
        <v>1873</v>
      </c>
      <c r="B716" s="11" t="s">
        <v>53</v>
      </c>
      <c r="C716" s="11" t="s">
        <v>156</v>
      </c>
      <c r="D716" s="11">
        <v>1</v>
      </c>
      <c r="E716" s="11" t="s">
        <v>4</v>
      </c>
      <c r="F716" s="12">
        <v>20600</v>
      </c>
      <c r="G716" s="12">
        <v>20600</v>
      </c>
      <c r="H716" s="11" t="str">
        <f t="shared" si="26"/>
        <v>平成4年12月5日</v>
      </c>
      <c r="I716" s="22">
        <f t="shared" si="25"/>
        <v>33943</v>
      </c>
      <c r="J716" s="1" t="str">
        <f>"00740139"</f>
        <v>00740139</v>
      </c>
      <c r="K716" s="1" t="str">
        <f>"５７９　　　　　　　　　　　　　　　　　"</f>
        <v>５７９　　　　　　　　　　　　　　　　　</v>
      </c>
      <c r="L716" s="1"/>
    </row>
    <row r="717" spans="1:12" ht="18" customHeight="1" x14ac:dyDescent="0.15">
      <c r="A717" s="11">
        <v>1874</v>
      </c>
      <c r="B717" s="11" t="s">
        <v>53</v>
      </c>
      <c r="C717" s="11" t="s">
        <v>156</v>
      </c>
      <c r="D717" s="11">
        <v>1</v>
      </c>
      <c r="E717" s="11" t="s">
        <v>4</v>
      </c>
      <c r="F717" s="12">
        <v>20600</v>
      </c>
      <c r="G717" s="12">
        <v>20600</v>
      </c>
      <c r="H717" s="11" t="str">
        <f t="shared" si="26"/>
        <v>平成4年12月5日</v>
      </c>
      <c r="I717" s="22">
        <f t="shared" si="25"/>
        <v>33943</v>
      </c>
      <c r="J717" s="1" t="str">
        <f>"00740141"</f>
        <v>00740141</v>
      </c>
      <c r="K717" s="1" t="str">
        <f>"５８０　　　　　　　　　　　　　　　　　"</f>
        <v>５８０　　　　　　　　　　　　　　　　　</v>
      </c>
      <c r="L717" s="1"/>
    </row>
    <row r="718" spans="1:12" ht="18" customHeight="1" x14ac:dyDescent="0.15">
      <c r="A718" s="11">
        <v>1875</v>
      </c>
      <c r="B718" s="11" t="s">
        <v>53</v>
      </c>
      <c r="C718" s="11" t="s">
        <v>156</v>
      </c>
      <c r="D718" s="11">
        <v>1</v>
      </c>
      <c r="E718" s="11" t="s">
        <v>4</v>
      </c>
      <c r="F718" s="12">
        <v>20600</v>
      </c>
      <c r="G718" s="12">
        <v>20600</v>
      </c>
      <c r="H718" s="11" t="str">
        <f t="shared" si="26"/>
        <v>平成4年12月5日</v>
      </c>
      <c r="I718" s="22">
        <f t="shared" si="25"/>
        <v>33943</v>
      </c>
      <c r="J718" s="1" t="str">
        <f>"00740143"</f>
        <v>00740143</v>
      </c>
      <c r="K718" s="1" t="str">
        <f>"５８１　　　　　　　　　　　　　　　　　"</f>
        <v>５８１　　　　　　　　　　　　　　　　　</v>
      </c>
      <c r="L718" s="1"/>
    </row>
    <row r="719" spans="1:12" ht="18" customHeight="1" x14ac:dyDescent="0.15">
      <c r="A719" s="11">
        <v>1876</v>
      </c>
      <c r="B719" s="11" t="s">
        <v>53</v>
      </c>
      <c r="C719" s="11" t="s">
        <v>156</v>
      </c>
      <c r="D719" s="11">
        <v>1</v>
      </c>
      <c r="E719" s="11" t="s">
        <v>4</v>
      </c>
      <c r="F719" s="12">
        <v>20600</v>
      </c>
      <c r="G719" s="12">
        <v>20600</v>
      </c>
      <c r="H719" s="11" t="str">
        <f t="shared" si="26"/>
        <v>平成4年12月5日</v>
      </c>
      <c r="I719" s="22">
        <f t="shared" si="25"/>
        <v>33943</v>
      </c>
      <c r="J719" s="1" t="str">
        <f>"00740145"</f>
        <v>00740145</v>
      </c>
      <c r="K719" s="1" t="str">
        <f>"５８２　　　　　　　　　　　　　　　　　"</f>
        <v>５８２　　　　　　　　　　　　　　　　　</v>
      </c>
      <c r="L719" s="1"/>
    </row>
    <row r="720" spans="1:12" ht="18" customHeight="1" x14ac:dyDescent="0.15">
      <c r="A720" s="11">
        <v>1877</v>
      </c>
      <c r="B720" s="11" t="s">
        <v>53</v>
      </c>
      <c r="C720" s="11" t="s">
        <v>156</v>
      </c>
      <c r="D720" s="11">
        <v>1</v>
      </c>
      <c r="E720" s="11" t="s">
        <v>4</v>
      </c>
      <c r="F720" s="12">
        <v>20600</v>
      </c>
      <c r="G720" s="12">
        <v>20600</v>
      </c>
      <c r="H720" s="11" t="str">
        <f t="shared" si="26"/>
        <v>平成4年12月5日</v>
      </c>
      <c r="I720" s="22">
        <f t="shared" si="25"/>
        <v>33943</v>
      </c>
      <c r="J720" s="1" t="str">
        <f>"00740147"</f>
        <v>00740147</v>
      </c>
      <c r="K720" s="1" t="str">
        <f>"５８３　　　　　　　　　　　　　　　　　"</f>
        <v>５８３　　　　　　　　　　　　　　　　　</v>
      </c>
      <c r="L720" s="1"/>
    </row>
    <row r="721" spans="1:12" ht="18" customHeight="1" x14ac:dyDescent="0.15">
      <c r="A721" s="11">
        <v>1878</v>
      </c>
      <c r="B721" s="11" t="s">
        <v>53</v>
      </c>
      <c r="C721" s="11" t="s">
        <v>156</v>
      </c>
      <c r="D721" s="11">
        <v>1</v>
      </c>
      <c r="E721" s="11" t="s">
        <v>4</v>
      </c>
      <c r="F721" s="12">
        <v>20600</v>
      </c>
      <c r="G721" s="12">
        <v>20600</v>
      </c>
      <c r="H721" s="11" t="str">
        <f t="shared" si="26"/>
        <v>平成4年12月5日</v>
      </c>
      <c r="I721" s="22">
        <f t="shared" si="25"/>
        <v>33943</v>
      </c>
      <c r="J721" s="1" t="str">
        <f>"00740149"</f>
        <v>00740149</v>
      </c>
      <c r="K721" s="1" t="str">
        <f>"５８４　　　　　　　　　　　　　　　　　"</f>
        <v>５８４　　　　　　　　　　　　　　　　　</v>
      </c>
      <c r="L721" s="1"/>
    </row>
    <row r="722" spans="1:12" ht="18" customHeight="1" x14ac:dyDescent="0.15">
      <c r="A722" s="11">
        <v>1879</v>
      </c>
      <c r="B722" s="11" t="s">
        <v>53</v>
      </c>
      <c r="C722" s="11" t="s">
        <v>156</v>
      </c>
      <c r="D722" s="11">
        <v>1</v>
      </c>
      <c r="E722" s="11" t="s">
        <v>4</v>
      </c>
      <c r="F722" s="12">
        <v>20600</v>
      </c>
      <c r="G722" s="12">
        <v>20600</v>
      </c>
      <c r="H722" s="11" t="str">
        <f t="shared" si="26"/>
        <v>平成4年12月5日</v>
      </c>
      <c r="I722" s="22">
        <f t="shared" ref="I722:I785" si="27">DATEVALUE(H722)</f>
        <v>33943</v>
      </c>
      <c r="J722" s="1" t="str">
        <f>"00740151"</f>
        <v>00740151</v>
      </c>
      <c r="K722" s="1" t="str">
        <f>"５８５　　　　　　　　　　　　　　　　　"</f>
        <v>５８５　　　　　　　　　　　　　　　　　</v>
      </c>
      <c r="L722" s="1"/>
    </row>
    <row r="723" spans="1:12" ht="18" customHeight="1" x14ac:dyDescent="0.15">
      <c r="A723" s="11">
        <v>1880</v>
      </c>
      <c r="B723" s="11" t="s">
        <v>53</v>
      </c>
      <c r="C723" s="11" t="s">
        <v>156</v>
      </c>
      <c r="D723" s="11">
        <v>1</v>
      </c>
      <c r="E723" s="11" t="s">
        <v>4</v>
      </c>
      <c r="F723" s="12">
        <v>20600</v>
      </c>
      <c r="G723" s="12">
        <v>20600</v>
      </c>
      <c r="H723" s="11" t="str">
        <f t="shared" si="26"/>
        <v>平成4年12月5日</v>
      </c>
      <c r="I723" s="22">
        <f t="shared" si="27"/>
        <v>33943</v>
      </c>
      <c r="J723" s="1" t="str">
        <f>"00740153"</f>
        <v>00740153</v>
      </c>
      <c r="K723" s="1" t="str">
        <f>"５８６　　　　　　　　　　　　　　　　　"</f>
        <v>５８６　　　　　　　　　　　　　　　　　</v>
      </c>
      <c r="L723" s="1"/>
    </row>
    <row r="724" spans="1:12" ht="18" customHeight="1" x14ac:dyDescent="0.15">
      <c r="A724" s="11">
        <v>1881</v>
      </c>
      <c r="B724" s="11" t="s">
        <v>53</v>
      </c>
      <c r="C724" s="11" t="s">
        <v>156</v>
      </c>
      <c r="D724" s="11">
        <v>1</v>
      </c>
      <c r="E724" s="11" t="s">
        <v>4</v>
      </c>
      <c r="F724" s="12">
        <v>20600</v>
      </c>
      <c r="G724" s="12">
        <v>20600</v>
      </c>
      <c r="H724" s="11" t="str">
        <f t="shared" si="26"/>
        <v>平成4年12月5日</v>
      </c>
      <c r="I724" s="22">
        <f t="shared" si="27"/>
        <v>33943</v>
      </c>
      <c r="J724" s="1" t="str">
        <f>"00740155"</f>
        <v>00740155</v>
      </c>
      <c r="K724" s="1" t="str">
        <f>"５８７　　　　　　　　　　　　　　　　　"</f>
        <v>５８７　　　　　　　　　　　　　　　　　</v>
      </c>
      <c r="L724" s="1"/>
    </row>
    <row r="725" spans="1:12" ht="18" customHeight="1" x14ac:dyDescent="0.15">
      <c r="A725" s="11">
        <v>1882</v>
      </c>
      <c r="B725" s="11" t="s">
        <v>53</v>
      </c>
      <c r="C725" s="11" t="s">
        <v>156</v>
      </c>
      <c r="D725" s="11">
        <v>1</v>
      </c>
      <c r="E725" s="11" t="s">
        <v>4</v>
      </c>
      <c r="F725" s="12">
        <v>20600</v>
      </c>
      <c r="G725" s="12">
        <v>20600</v>
      </c>
      <c r="H725" s="11" t="str">
        <f t="shared" si="26"/>
        <v>平成4年12月5日</v>
      </c>
      <c r="I725" s="22">
        <f t="shared" si="27"/>
        <v>33943</v>
      </c>
      <c r="J725" s="1" t="str">
        <f>"00740157"</f>
        <v>00740157</v>
      </c>
      <c r="K725" s="1" t="str">
        <f>"５８８　　　　　　　　　　　　　　　　　"</f>
        <v>５８８　　　　　　　　　　　　　　　　　</v>
      </c>
      <c r="L725" s="1"/>
    </row>
    <row r="726" spans="1:12" ht="18" customHeight="1" x14ac:dyDescent="0.15">
      <c r="A726" s="11">
        <v>1883</v>
      </c>
      <c r="B726" s="11" t="s">
        <v>53</v>
      </c>
      <c r="C726" s="11" t="s">
        <v>156</v>
      </c>
      <c r="D726" s="11">
        <v>1</v>
      </c>
      <c r="E726" s="11" t="s">
        <v>4</v>
      </c>
      <c r="F726" s="12">
        <v>20600</v>
      </c>
      <c r="G726" s="12">
        <v>20600</v>
      </c>
      <c r="H726" s="11" t="str">
        <f t="shared" si="26"/>
        <v>平成4年12月5日</v>
      </c>
      <c r="I726" s="22">
        <f t="shared" si="27"/>
        <v>33943</v>
      </c>
      <c r="J726" s="1" t="str">
        <f>"00740159"</f>
        <v>00740159</v>
      </c>
      <c r="K726" s="1" t="str">
        <f>"５８９　　　　　　　　　　　　　　　　　"</f>
        <v>５８９　　　　　　　　　　　　　　　　　</v>
      </c>
      <c r="L726" s="1"/>
    </row>
    <row r="727" spans="1:12" ht="18" customHeight="1" x14ac:dyDescent="0.15">
      <c r="A727" s="11">
        <v>1884</v>
      </c>
      <c r="B727" s="11" t="s">
        <v>53</v>
      </c>
      <c r="C727" s="11" t="s">
        <v>156</v>
      </c>
      <c r="D727" s="11">
        <v>1</v>
      </c>
      <c r="E727" s="11" t="s">
        <v>4</v>
      </c>
      <c r="F727" s="12">
        <v>20600</v>
      </c>
      <c r="G727" s="12">
        <v>20600</v>
      </c>
      <c r="H727" s="11" t="str">
        <f t="shared" si="26"/>
        <v>平成4年12月5日</v>
      </c>
      <c r="I727" s="22">
        <f t="shared" si="27"/>
        <v>33943</v>
      </c>
      <c r="J727" s="1" t="str">
        <f>"00740161"</f>
        <v>00740161</v>
      </c>
      <c r="K727" s="1" t="str">
        <f>"５９０　　　　　　　　　　　　　　　　　"</f>
        <v>５９０　　　　　　　　　　　　　　　　　</v>
      </c>
      <c r="L727" s="1"/>
    </row>
    <row r="728" spans="1:12" ht="18" customHeight="1" x14ac:dyDescent="0.15">
      <c r="A728" s="11">
        <v>1885</v>
      </c>
      <c r="B728" s="11" t="s">
        <v>53</v>
      </c>
      <c r="C728" s="11" t="s">
        <v>156</v>
      </c>
      <c r="D728" s="11">
        <v>1</v>
      </c>
      <c r="E728" s="11" t="s">
        <v>4</v>
      </c>
      <c r="F728" s="12">
        <v>20600</v>
      </c>
      <c r="G728" s="12">
        <v>20600</v>
      </c>
      <c r="H728" s="11" t="str">
        <f t="shared" si="26"/>
        <v>平成4年12月5日</v>
      </c>
      <c r="I728" s="22">
        <f t="shared" si="27"/>
        <v>33943</v>
      </c>
      <c r="J728" s="1" t="str">
        <f>"00740163"</f>
        <v>00740163</v>
      </c>
      <c r="K728" s="1" t="str">
        <f>"５９１　　　　　　　　　　　　　　　　　"</f>
        <v>５９１　　　　　　　　　　　　　　　　　</v>
      </c>
      <c r="L728" s="1"/>
    </row>
    <row r="729" spans="1:12" ht="18" customHeight="1" x14ac:dyDescent="0.15">
      <c r="A729" s="11">
        <v>1886</v>
      </c>
      <c r="B729" s="11" t="s">
        <v>53</v>
      </c>
      <c r="C729" s="11" t="s">
        <v>156</v>
      </c>
      <c r="D729" s="11">
        <v>1</v>
      </c>
      <c r="E729" s="11" t="s">
        <v>4</v>
      </c>
      <c r="F729" s="12">
        <v>20600</v>
      </c>
      <c r="G729" s="12">
        <v>20600</v>
      </c>
      <c r="H729" s="11" t="str">
        <f t="shared" si="26"/>
        <v>平成4年12月5日</v>
      </c>
      <c r="I729" s="22">
        <f t="shared" si="27"/>
        <v>33943</v>
      </c>
      <c r="J729" s="1" t="str">
        <f>"00740165"</f>
        <v>00740165</v>
      </c>
      <c r="K729" s="1" t="str">
        <f>"５９２　　　　　　　　　　　　　　　　　"</f>
        <v>５９２　　　　　　　　　　　　　　　　　</v>
      </c>
      <c r="L729" s="1"/>
    </row>
    <row r="730" spans="1:12" ht="18" customHeight="1" x14ac:dyDescent="0.15">
      <c r="A730" s="11">
        <v>1887</v>
      </c>
      <c r="B730" s="11" t="s">
        <v>53</v>
      </c>
      <c r="C730" s="11" t="s">
        <v>156</v>
      </c>
      <c r="D730" s="11">
        <v>1</v>
      </c>
      <c r="E730" s="11" t="s">
        <v>4</v>
      </c>
      <c r="F730" s="12">
        <v>20600</v>
      </c>
      <c r="G730" s="12">
        <v>20600</v>
      </c>
      <c r="H730" s="11" t="str">
        <f t="shared" si="26"/>
        <v>平成4年12月5日</v>
      </c>
      <c r="I730" s="22">
        <f t="shared" si="27"/>
        <v>33943</v>
      </c>
      <c r="J730" s="1" t="str">
        <f>"00740167"</f>
        <v>00740167</v>
      </c>
      <c r="K730" s="1" t="str">
        <f>"５９３　　　　　　　　　　　　　　　　　"</f>
        <v>５９３　　　　　　　　　　　　　　　　　</v>
      </c>
      <c r="L730" s="1"/>
    </row>
    <row r="731" spans="1:12" ht="18" customHeight="1" x14ac:dyDescent="0.15">
      <c r="A731" s="11">
        <v>1888</v>
      </c>
      <c r="B731" s="11" t="s">
        <v>53</v>
      </c>
      <c r="C731" s="11" t="s">
        <v>156</v>
      </c>
      <c r="D731" s="11">
        <v>1</v>
      </c>
      <c r="E731" s="11" t="s">
        <v>4</v>
      </c>
      <c r="F731" s="12">
        <v>20600</v>
      </c>
      <c r="G731" s="12">
        <v>20600</v>
      </c>
      <c r="H731" s="11" t="str">
        <f t="shared" si="26"/>
        <v>平成4年12月5日</v>
      </c>
      <c r="I731" s="22">
        <f t="shared" si="27"/>
        <v>33943</v>
      </c>
      <c r="J731" s="1" t="str">
        <f>"00740169"</f>
        <v>00740169</v>
      </c>
      <c r="K731" s="1" t="str">
        <f>"５９４　　　　　　　　　　　　　　　　　"</f>
        <v>５９４　　　　　　　　　　　　　　　　　</v>
      </c>
      <c r="L731" s="1"/>
    </row>
    <row r="732" spans="1:12" ht="18" customHeight="1" x14ac:dyDescent="0.15">
      <c r="A732" s="11">
        <v>1889</v>
      </c>
      <c r="B732" s="11" t="s">
        <v>53</v>
      </c>
      <c r="C732" s="11" t="s">
        <v>156</v>
      </c>
      <c r="D732" s="11">
        <v>1</v>
      </c>
      <c r="E732" s="11" t="s">
        <v>4</v>
      </c>
      <c r="F732" s="12">
        <v>20600</v>
      </c>
      <c r="G732" s="12">
        <v>20600</v>
      </c>
      <c r="H732" s="11" t="str">
        <f t="shared" si="26"/>
        <v>平成4年12月5日</v>
      </c>
      <c r="I732" s="22">
        <f t="shared" si="27"/>
        <v>33943</v>
      </c>
      <c r="J732" s="1" t="str">
        <f>"00740171"</f>
        <v>00740171</v>
      </c>
      <c r="K732" s="1" t="str">
        <f>"５９５　　　　　　　　　　　　　　　　　"</f>
        <v>５９５　　　　　　　　　　　　　　　　　</v>
      </c>
      <c r="L732" s="1"/>
    </row>
    <row r="733" spans="1:12" ht="18" customHeight="1" x14ac:dyDescent="0.15">
      <c r="A733" s="11">
        <v>1890</v>
      </c>
      <c r="B733" s="11" t="s">
        <v>53</v>
      </c>
      <c r="C733" s="11" t="s">
        <v>156</v>
      </c>
      <c r="D733" s="11">
        <v>1</v>
      </c>
      <c r="E733" s="11" t="s">
        <v>4</v>
      </c>
      <c r="F733" s="12">
        <v>20600</v>
      </c>
      <c r="G733" s="12">
        <v>20600</v>
      </c>
      <c r="H733" s="11" t="str">
        <f t="shared" si="26"/>
        <v>平成4年12月5日</v>
      </c>
      <c r="I733" s="22">
        <f t="shared" si="27"/>
        <v>33943</v>
      </c>
      <c r="J733" s="1" t="str">
        <f>"00740173"</f>
        <v>00740173</v>
      </c>
      <c r="K733" s="1" t="str">
        <f>"５９６　　　　　　　　　　　　　　　　　"</f>
        <v>５９６　　　　　　　　　　　　　　　　　</v>
      </c>
      <c r="L733" s="1"/>
    </row>
    <row r="734" spans="1:12" ht="18" customHeight="1" x14ac:dyDescent="0.15">
      <c r="A734" s="11">
        <v>1891</v>
      </c>
      <c r="B734" s="11" t="s">
        <v>53</v>
      </c>
      <c r="C734" s="11" t="s">
        <v>156</v>
      </c>
      <c r="D734" s="11">
        <v>1</v>
      </c>
      <c r="E734" s="11" t="s">
        <v>4</v>
      </c>
      <c r="F734" s="12">
        <v>20600</v>
      </c>
      <c r="G734" s="12">
        <v>20600</v>
      </c>
      <c r="H734" s="11" t="str">
        <f t="shared" si="26"/>
        <v>平成4年12月5日</v>
      </c>
      <c r="I734" s="22">
        <f t="shared" si="27"/>
        <v>33943</v>
      </c>
      <c r="J734" s="1" t="str">
        <f>"00740175"</f>
        <v>00740175</v>
      </c>
      <c r="K734" s="1" t="str">
        <f>"５９７　　　　　　　　　　　　　　　　　"</f>
        <v>５９７　　　　　　　　　　　　　　　　　</v>
      </c>
      <c r="L734" s="1"/>
    </row>
    <row r="735" spans="1:12" ht="18" customHeight="1" x14ac:dyDescent="0.15">
      <c r="A735" s="11">
        <v>1892</v>
      </c>
      <c r="B735" s="11" t="s">
        <v>53</v>
      </c>
      <c r="C735" s="11" t="s">
        <v>156</v>
      </c>
      <c r="D735" s="11">
        <v>1</v>
      </c>
      <c r="E735" s="11" t="s">
        <v>4</v>
      </c>
      <c r="F735" s="12">
        <v>20600</v>
      </c>
      <c r="G735" s="12">
        <v>20600</v>
      </c>
      <c r="H735" s="11" t="str">
        <f t="shared" si="26"/>
        <v>平成4年12月5日</v>
      </c>
      <c r="I735" s="22">
        <f t="shared" si="27"/>
        <v>33943</v>
      </c>
      <c r="J735" s="1" t="str">
        <f>"00740177"</f>
        <v>00740177</v>
      </c>
      <c r="K735" s="1" t="str">
        <f>"５９８　　　　　　　　　　　　　　　　　"</f>
        <v>５９８　　　　　　　　　　　　　　　　　</v>
      </c>
      <c r="L735" s="1"/>
    </row>
    <row r="736" spans="1:12" ht="18" customHeight="1" x14ac:dyDescent="0.15">
      <c r="A736" s="11">
        <v>1893</v>
      </c>
      <c r="B736" s="11" t="s">
        <v>53</v>
      </c>
      <c r="C736" s="11" t="s">
        <v>156</v>
      </c>
      <c r="D736" s="11">
        <v>1</v>
      </c>
      <c r="E736" s="11" t="s">
        <v>4</v>
      </c>
      <c r="F736" s="12">
        <v>20600</v>
      </c>
      <c r="G736" s="12">
        <v>20600</v>
      </c>
      <c r="H736" s="11" t="str">
        <f t="shared" si="26"/>
        <v>平成4年12月5日</v>
      </c>
      <c r="I736" s="22">
        <f t="shared" si="27"/>
        <v>33943</v>
      </c>
      <c r="J736" s="1" t="str">
        <f>"00740179"</f>
        <v>00740179</v>
      </c>
      <c r="K736" s="1" t="str">
        <f>"５９９　　　　　　　　　　　　　　　　　"</f>
        <v>５９９　　　　　　　　　　　　　　　　　</v>
      </c>
      <c r="L736" s="1"/>
    </row>
    <row r="737" spans="1:12" ht="18" customHeight="1" x14ac:dyDescent="0.15">
      <c r="A737" s="11">
        <v>1894</v>
      </c>
      <c r="B737" s="11" t="s">
        <v>53</v>
      </c>
      <c r="C737" s="11" t="s">
        <v>156</v>
      </c>
      <c r="D737" s="11">
        <v>1</v>
      </c>
      <c r="E737" s="11" t="s">
        <v>4</v>
      </c>
      <c r="F737" s="12">
        <v>20600</v>
      </c>
      <c r="G737" s="12">
        <v>20600</v>
      </c>
      <c r="H737" s="11" t="str">
        <f t="shared" si="26"/>
        <v>平成4年12月5日</v>
      </c>
      <c r="I737" s="22">
        <f t="shared" si="27"/>
        <v>33943</v>
      </c>
      <c r="J737" s="1" t="str">
        <f>"00740181"</f>
        <v>00740181</v>
      </c>
      <c r="K737" s="1" t="str">
        <f>"６００　　　　　　　　　　　　　　　　　"</f>
        <v>６００　　　　　　　　　　　　　　　　　</v>
      </c>
      <c r="L737" s="1"/>
    </row>
    <row r="738" spans="1:12" ht="18" customHeight="1" x14ac:dyDescent="0.15">
      <c r="A738" s="11">
        <v>1895</v>
      </c>
      <c r="B738" s="11" t="s">
        <v>53</v>
      </c>
      <c r="C738" s="11" t="s">
        <v>156</v>
      </c>
      <c r="D738" s="11">
        <v>1</v>
      </c>
      <c r="E738" s="11" t="s">
        <v>4</v>
      </c>
      <c r="F738" s="12">
        <v>20600</v>
      </c>
      <c r="G738" s="12">
        <v>20600</v>
      </c>
      <c r="H738" s="11" t="str">
        <f t="shared" si="26"/>
        <v>平成4年12月5日</v>
      </c>
      <c r="I738" s="22">
        <f t="shared" si="27"/>
        <v>33943</v>
      </c>
      <c r="J738" s="1" t="str">
        <f>"00740183"</f>
        <v>00740183</v>
      </c>
      <c r="K738" s="1" t="str">
        <f>"６０１　　　　　　　　　　　　　　　　　"</f>
        <v>６０１　　　　　　　　　　　　　　　　　</v>
      </c>
      <c r="L738" s="1"/>
    </row>
    <row r="739" spans="1:12" ht="18" customHeight="1" x14ac:dyDescent="0.15">
      <c r="A739" s="11">
        <v>1896</v>
      </c>
      <c r="B739" s="11" t="s">
        <v>53</v>
      </c>
      <c r="C739" s="11" t="s">
        <v>156</v>
      </c>
      <c r="D739" s="11">
        <v>1</v>
      </c>
      <c r="E739" s="11" t="s">
        <v>4</v>
      </c>
      <c r="F739" s="12">
        <v>20600</v>
      </c>
      <c r="G739" s="12">
        <v>20600</v>
      </c>
      <c r="H739" s="11" t="str">
        <f t="shared" si="26"/>
        <v>平成4年12月5日</v>
      </c>
      <c r="I739" s="22">
        <f t="shared" si="27"/>
        <v>33943</v>
      </c>
      <c r="J739" s="1" t="str">
        <f>"00740185"</f>
        <v>00740185</v>
      </c>
      <c r="K739" s="1" t="str">
        <f>"６０２　　　　　　　　　　　　　　　　　"</f>
        <v>６０２　　　　　　　　　　　　　　　　　</v>
      </c>
      <c r="L739" s="1"/>
    </row>
    <row r="740" spans="1:12" ht="18" customHeight="1" x14ac:dyDescent="0.15">
      <c r="A740" s="11">
        <v>1897</v>
      </c>
      <c r="B740" s="11" t="s">
        <v>53</v>
      </c>
      <c r="C740" s="11" t="s">
        <v>156</v>
      </c>
      <c r="D740" s="11">
        <v>1</v>
      </c>
      <c r="E740" s="11" t="s">
        <v>4</v>
      </c>
      <c r="F740" s="12">
        <v>20600</v>
      </c>
      <c r="G740" s="12">
        <v>20600</v>
      </c>
      <c r="H740" s="11" t="str">
        <f t="shared" si="26"/>
        <v>平成4年12月5日</v>
      </c>
      <c r="I740" s="22">
        <f t="shared" si="27"/>
        <v>33943</v>
      </c>
      <c r="J740" s="1" t="str">
        <f>"00740187"</f>
        <v>00740187</v>
      </c>
      <c r="K740" s="1" t="str">
        <f>"６０３　　　　　　　　　　　　　　　　　"</f>
        <v>６０３　　　　　　　　　　　　　　　　　</v>
      </c>
      <c r="L740" s="1"/>
    </row>
    <row r="741" spans="1:12" ht="18" customHeight="1" x14ac:dyDescent="0.15">
      <c r="A741" s="11">
        <v>1898</v>
      </c>
      <c r="B741" s="11" t="s">
        <v>53</v>
      </c>
      <c r="C741" s="11" t="s">
        <v>156</v>
      </c>
      <c r="D741" s="11">
        <v>1</v>
      </c>
      <c r="E741" s="11" t="s">
        <v>4</v>
      </c>
      <c r="F741" s="12">
        <v>20600</v>
      </c>
      <c r="G741" s="12">
        <v>20600</v>
      </c>
      <c r="H741" s="11" t="str">
        <f t="shared" si="26"/>
        <v>平成4年12月5日</v>
      </c>
      <c r="I741" s="22">
        <f t="shared" si="27"/>
        <v>33943</v>
      </c>
      <c r="J741" s="1" t="str">
        <f>"00740189"</f>
        <v>00740189</v>
      </c>
      <c r="K741" s="1" t="str">
        <f>"６０４　　　　　　　　　　　　　　　　　"</f>
        <v>６０４　　　　　　　　　　　　　　　　　</v>
      </c>
      <c r="L741" s="1"/>
    </row>
    <row r="742" spans="1:12" ht="18" customHeight="1" x14ac:dyDescent="0.15">
      <c r="A742" s="11">
        <v>1899</v>
      </c>
      <c r="B742" s="11" t="s">
        <v>53</v>
      </c>
      <c r="C742" s="11" t="s">
        <v>156</v>
      </c>
      <c r="D742" s="11">
        <v>1</v>
      </c>
      <c r="E742" s="11" t="s">
        <v>4</v>
      </c>
      <c r="F742" s="12">
        <v>20600</v>
      </c>
      <c r="G742" s="12">
        <v>20600</v>
      </c>
      <c r="H742" s="11" t="str">
        <f t="shared" si="26"/>
        <v>平成4年12月5日</v>
      </c>
      <c r="I742" s="22">
        <f t="shared" si="27"/>
        <v>33943</v>
      </c>
      <c r="J742" s="1" t="str">
        <f>"00740191"</f>
        <v>00740191</v>
      </c>
      <c r="K742" s="1" t="str">
        <f>"６０５　　　　　　　　　　　　　　　　　"</f>
        <v>６０５　　　　　　　　　　　　　　　　　</v>
      </c>
      <c r="L742" s="1"/>
    </row>
    <row r="743" spans="1:12" ht="18" customHeight="1" x14ac:dyDescent="0.15">
      <c r="A743" s="11">
        <v>1900</v>
      </c>
      <c r="B743" s="11" t="s">
        <v>53</v>
      </c>
      <c r="C743" s="11" t="s">
        <v>156</v>
      </c>
      <c r="D743" s="11">
        <v>1</v>
      </c>
      <c r="E743" s="11" t="s">
        <v>4</v>
      </c>
      <c r="F743" s="12">
        <v>20600</v>
      </c>
      <c r="G743" s="12">
        <v>20600</v>
      </c>
      <c r="H743" s="11" t="str">
        <f t="shared" si="26"/>
        <v>平成4年12月5日</v>
      </c>
      <c r="I743" s="22">
        <f t="shared" si="27"/>
        <v>33943</v>
      </c>
      <c r="J743" s="1" t="str">
        <f>"00740193"</f>
        <v>00740193</v>
      </c>
      <c r="K743" s="1" t="str">
        <f>"６０６　　　　　　　　　　　　　　　　　"</f>
        <v>６０６　　　　　　　　　　　　　　　　　</v>
      </c>
      <c r="L743" s="1"/>
    </row>
    <row r="744" spans="1:12" ht="18" customHeight="1" x14ac:dyDescent="0.15">
      <c r="A744" s="11">
        <v>1901</v>
      </c>
      <c r="B744" s="11" t="s">
        <v>53</v>
      </c>
      <c r="C744" s="11" t="s">
        <v>156</v>
      </c>
      <c r="D744" s="11">
        <v>1</v>
      </c>
      <c r="E744" s="11" t="s">
        <v>4</v>
      </c>
      <c r="F744" s="12">
        <v>20600</v>
      </c>
      <c r="G744" s="12">
        <v>20600</v>
      </c>
      <c r="H744" s="11" t="str">
        <f t="shared" si="26"/>
        <v>平成4年12月5日</v>
      </c>
      <c r="I744" s="22">
        <f t="shared" si="27"/>
        <v>33943</v>
      </c>
      <c r="J744" s="1" t="str">
        <f>"00740195"</f>
        <v>00740195</v>
      </c>
      <c r="K744" s="1" t="str">
        <f>"６０７　　　　　　　　　　　　　　　　　"</f>
        <v>６０７　　　　　　　　　　　　　　　　　</v>
      </c>
      <c r="L744" s="1"/>
    </row>
    <row r="745" spans="1:12" ht="18" customHeight="1" x14ac:dyDescent="0.15">
      <c r="A745" s="11">
        <v>1902</v>
      </c>
      <c r="B745" s="11" t="s">
        <v>53</v>
      </c>
      <c r="C745" s="11" t="s">
        <v>156</v>
      </c>
      <c r="D745" s="11">
        <v>1</v>
      </c>
      <c r="E745" s="11" t="s">
        <v>4</v>
      </c>
      <c r="F745" s="12">
        <v>20600</v>
      </c>
      <c r="G745" s="12">
        <v>20600</v>
      </c>
      <c r="H745" s="11" t="str">
        <f t="shared" si="26"/>
        <v>平成4年12月5日</v>
      </c>
      <c r="I745" s="22">
        <f t="shared" si="27"/>
        <v>33943</v>
      </c>
      <c r="J745" s="1" t="str">
        <f>"00740197"</f>
        <v>00740197</v>
      </c>
      <c r="K745" s="1" t="str">
        <f>"６０８　　　　　　　　　　　　　　　　　"</f>
        <v>６０８　　　　　　　　　　　　　　　　　</v>
      </c>
      <c r="L745" s="1"/>
    </row>
    <row r="746" spans="1:12" ht="18" customHeight="1" x14ac:dyDescent="0.15">
      <c r="A746" s="11">
        <v>1903</v>
      </c>
      <c r="B746" s="11" t="s">
        <v>53</v>
      </c>
      <c r="C746" s="11" t="s">
        <v>156</v>
      </c>
      <c r="D746" s="11">
        <v>1</v>
      </c>
      <c r="E746" s="11" t="s">
        <v>4</v>
      </c>
      <c r="F746" s="12">
        <v>20600</v>
      </c>
      <c r="G746" s="12">
        <v>20600</v>
      </c>
      <c r="H746" s="11" t="str">
        <f t="shared" si="26"/>
        <v>平成4年12月5日</v>
      </c>
      <c r="I746" s="22">
        <f t="shared" si="27"/>
        <v>33943</v>
      </c>
      <c r="J746" s="1" t="str">
        <f>"00740199"</f>
        <v>00740199</v>
      </c>
      <c r="K746" s="1" t="str">
        <f>"６０９　　　　　　　　　　　　　　　　　"</f>
        <v>６０９　　　　　　　　　　　　　　　　　</v>
      </c>
      <c r="L746" s="1"/>
    </row>
    <row r="747" spans="1:12" ht="18" customHeight="1" x14ac:dyDescent="0.15">
      <c r="A747" s="11">
        <v>1904</v>
      </c>
      <c r="B747" s="11" t="s">
        <v>53</v>
      </c>
      <c r="C747" s="11" t="s">
        <v>156</v>
      </c>
      <c r="D747" s="11">
        <v>1</v>
      </c>
      <c r="E747" s="11" t="s">
        <v>4</v>
      </c>
      <c r="F747" s="12">
        <v>20600</v>
      </c>
      <c r="G747" s="12">
        <v>20600</v>
      </c>
      <c r="H747" s="11" t="str">
        <f t="shared" si="26"/>
        <v>平成4年12月5日</v>
      </c>
      <c r="I747" s="22">
        <f t="shared" si="27"/>
        <v>33943</v>
      </c>
      <c r="J747" s="1" t="str">
        <f>"00740201"</f>
        <v>00740201</v>
      </c>
      <c r="K747" s="1" t="str">
        <f>"６１０　　　　　　　　　　　　　　　　　"</f>
        <v>６１０　　　　　　　　　　　　　　　　　</v>
      </c>
      <c r="L747" s="1"/>
    </row>
    <row r="748" spans="1:12" ht="18" customHeight="1" x14ac:dyDescent="0.15">
      <c r="A748" s="11">
        <v>1905</v>
      </c>
      <c r="B748" s="11" t="s">
        <v>53</v>
      </c>
      <c r="C748" s="11" t="s">
        <v>156</v>
      </c>
      <c r="D748" s="11">
        <v>1</v>
      </c>
      <c r="E748" s="11" t="s">
        <v>4</v>
      </c>
      <c r="F748" s="12">
        <v>20600</v>
      </c>
      <c r="G748" s="12">
        <v>20600</v>
      </c>
      <c r="H748" s="11" t="str">
        <f t="shared" si="26"/>
        <v>平成4年12月5日</v>
      </c>
      <c r="I748" s="22">
        <f t="shared" si="27"/>
        <v>33943</v>
      </c>
      <c r="J748" s="1" t="str">
        <f>"00740203"</f>
        <v>00740203</v>
      </c>
      <c r="K748" s="1" t="str">
        <f>"６１１　　　　　　　　　　　　　　　　　"</f>
        <v>６１１　　　　　　　　　　　　　　　　　</v>
      </c>
      <c r="L748" s="1"/>
    </row>
    <row r="749" spans="1:12" ht="18" customHeight="1" x14ac:dyDescent="0.15">
      <c r="A749" s="11">
        <v>1906</v>
      </c>
      <c r="B749" s="11" t="s">
        <v>53</v>
      </c>
      <c r="C749" s="11" t="s">
        <v>156</v>
      </c>
      <c r="D749" s="11">
        <v>1</v>
      </c>
      <c r="E749" s="11" t="s">
        <v>4</v>
      </c>
      <c r="F749" s="12">
        <v>20600</v>
      </c>
      <c r="G749" s="12">
        <v>20600</v>
      </c>
      <c r="H749" s="11" t="str">
        <f t="shared" si="26"/>
        <v>平成4年12月5日</v>
      </c>
      <c r="I749" s="22">
        <f t="shared" si="27"/>
        <v>33943</v>
      </c>
      <c r="J749" s="1" t="str">
        <f>"00740205"</f>
        <v>00740205</v>
      </c>
      <c r="K749" s="1" t="str">
        <f>"６１２　　　　　　　　　　　　　　　　　"</f>
        <v>６１２　　　　　　　　　　　　　　　　　</v>
      </c>
      <c r="L749" s="1"/>
    </row>
    <row r="750" spans="1:12" ht="18" customHeight="1" x14ac:dyDescent="0.15">
      <c r="A750" s="11">
        <v>1907</v>
      </c>
      <c r="B750" s="11" t="s">
        <v>53</v>
      </c>
      <c r="C750" s="11" t="s">
        <v>156</v>
      </c>
      <c r="D750" s="11">
        <v>1</v>
      </c>
      <c r="E750" s="11" t="s">
        <v>4</v>
      </c>
      <c r="F750" s="12">
        <v>20600</v>
      </c>
      <c r="G750" s="12">
        <v>20600</v>
      </c>
      <c r="H750" s="11" t="str">
        <f t="shared" ref="H750:H813" si="28">"平成4年12月5日"</f>
        <v>平成4年12月5日</v>
      </c>
      <c r="I750" s="22">
        <f t="shared" si="27"/>
        <v>33943</v>
      </c>
      <c r="J750" s="1" t="str">
        <f>"00740207"</f>
        <v>00740207</v>
      </c>
      <c r="K750" s="1" t="str">
        <f>"６１３　　　　　　　　　　　　　　　　　"</f>
        <v>６１３　　　　　　　　　　　　　　　　　</v>
      </c>
      <c r="L750" s="1"/>
    </row>
    <row r="751" spans="1:12" ht="18" customHeight="1" x14ac:dyDescent="0.15">
      <c r="A751" s="11">
        <v>1908</v>
      </c>
      <c r="B751" s="11" t="s">
        <v>53</v>
      </c>
      <c r="C751" s="11" t="s">
        <v>156</v>
      </c>
      <c r="D751" s="11">
        <v>1</v>
      </c>
      <c r="E751" s="11" t="s">
        <v>4</v>
      </c>
      <c r="F751" s="12">
        <v>20600</v>
      </c>
      <c r="G751" s="12">
        <v>20600</v>
      </c>
      <c r="H751" s="11" t="str">
        <f t="shared" si="28"/>
        <v>平成4年12月5日</v>
      </c>
      <c r="I751" s="22">
        <f t="shared" si="27"/>
        <v>33943</v>
      </c>
      <c r="J751" s="1" t="str">
        <f>"00740209"</f>
        <v>00740209</v>
      </c>
      <c r="K751" s="1" t="str">
        <f>"６１４　　　　　　　　　　　　　　　　　"</f>
        <v>６１４　　　　　　　　　　　　　　　　　</v>
      </c>
      <c r="L751" s="1"/>
    </row>
    <row r="752" spans="1:12" ht="18" customHeight="1" x14ac:dyDescent="0.15">
      <c r="A752" s="11">
        <v>1909</v>
      </c>
      <c r="B752" s="11" t="s">
        <v>53</v>
      </c>
      <c r="C752" s="11" t="s">
        <v>156</v>
      </c>
      <c r="D752" s="11">
        <v>1</v>
      </c>
      <c r="E752" s="11" t="s">
        <v>4</v>
      </c>
      <c r="F752" s="12">
        <v>20600</v>
      </c>
      <c r="G752" s="12">
        <v>20600</v>
      </c>
      <c r="H752" s="11" t="str">
        <f t="shared" si="28"/>
        <v>平成4年12月5日</v>
      </c>
      <c r="I752" s="22">
        <f t="shared" si="27"/>
        <v>33943</v>
      </c>
      <c r="J752" s="1" t="str">
        <f>"00740211"</f>
        <v>00740211</v>
      </c>
      <c r="K752" s="1" t="str">
        <f>"６１６　　　　　　　　　　　　　　　　　"</f>
        <v>６１６　　　　　　　　　　　　　　　　　</v>
      </c>
      <c r="L752" s="1"/>
    </row>
    <row r="753" spans="1:12" ht="18" customHeight="1" x14ac:dyDescent="0.15">
      <c r="A753" s="11">
        <v>1910</v>
      </c>
      <c r="B753" s="11" t="s">
        <v>53</v>
      </c>
      <c r="C753" s="11" t="s">
        <v>156</v>
      </c>
      <c r="D753" s="11">
        <v>1</v>
      </c>
      <c r="E753" s="11" t="s">
        <v>4</v>
      </c>
      <c r="F753" s="12">
        <v>20600</v>
      </c>
      <c r="G753" s="12">
        <v>20600</v>
      </c>
      <c r="H753" s="11" t="str">
        <f t="shared" si="28"/>
        <v>平成4年12月5日</v>
      </c>
      <c r="I753" s="22">
        <f t="shared" si="27"/>
        <v>33943</v>
      </c>
      <c r="J753" s="1" t="str">
        <f>"00740213"</f>
        <v>00740213</v>
      </c>
      <c r="K753" s="1" t="str">
        <f>"６１７　　　　　　　　　　　　　　　　　"</f>
        <v>６１７　　　　　　　　　　　　　　　　　</v>
      </c>
      <c r="L753" s="1"/>
    </row>
    <row r="754" spans="1:12" ht="18" customHeight="1" x14ac:dyDescent="0.15">
      <c r="A754" s="11">
        <v>1911</v>
      </c>
      <c r="B754" s="11" t="s">
        <v>53</v>
      </c>
      <c r="C754" s="11" t="s">
        <v>156</v>
      </c>
      <c r="D754" s="11">
        <v>1</v>
      </c>
      <c r="E754" s="11" t="s">
        <v>4</v>
      </c>
      <c r="F754" s="12">
        <v>20600</v>
      </c>
      <c r="G754" s="12">
        <v>20600</v>
      </c>
      <c r="H754" s="11" t="str">
        <f t="shared" si="28"/>
        <v>平成4年12月5日</v>
      </c>
      <c r="I754" s="22">
        <f t="shared" si="27"/>
        <v>33943</v>
      </c>
      <c r="J754" s="1" t="str">
        <f>"00740214"</f>
        <v>00740214</v>
      </c>
      <c r="K754" s="1" t="str">
        <f>"６１８　　　　　　　　　　　　　　　　　"</f>
        <v>６１８　　　　　　　　　　　　　　　　　</v>
      </c>
      <c r="L754" s="1"/>
    </row>
    <row r="755" spans="1:12" ht="18" customHeight="1" x14ac:dyDescent="0.15">
      <c r="A755" s="11">
        <v>1912</v>
      </c>
      <c r="B755" s="11" t="s">
        <v>53</v>
      </c>
      <c r="C755" s="11" t="s">
        <v>156</v>
      </c>
      <c r="D755" s="11">
        <v>1</v>
      </c>
      <c r="E755" s="11" t="s">
        <v>4</v>
      </c>
      <c r="F755" s="12">
        <v>20600</v>
      </c>
      <c r="G755" s="12">
        <v>20600</v>
      </c>
      <c r="H755" s="11" t="str">
        <f t="shared" si="28"/>
        <v>平成4年12月5日</v>
      </c>
      <c r="I755" s="22">
        <f t="shared" si="27"/>
        <v>33943</v>
      </c>
      <c r="J755" s="1" t="str">
        <f>"00740216"</f>
        <v>00740216</v>
      </c>
      <c r="K755" s="1" t="str">
        <f>"６１９　　　　　　　　　　　　　　　　　"</f>
        <v>６１９　　　　　　　　　　　　　　　　　</v>
      </c>
      <c r="L755" s="1"/>
    </row>
    <row r="756" spans="1:12" ht="18" customHeight="1" x14ac:dyDescent="0.15">
      <c r="A756" s="11">
        <v>1913</v>
      </c>
      <c r="B756" s="11" t="s">
        <v>53</v>
      </c>
      <c r="C756" s="11" t="s">
        <v>156</v>
      </c>
      <c r="D756" s="11">
        <v>1</v>
      </c>
      <c r="E756" s="11" t="s">
        <v>4</v>
      </c>
      <c r="F756" s="12">
        <v>20600</v>
      </c>
      <c r="G756" s="12">
        <v>20600</v>
      </c>
      <c r="H756" s="11" t="str">
        <f t="shared" si="28"/>
        <v>平成4年12月5日</v>
      </c>
      <c r="I756" s="22">
        <f t="shared" si="27"/>
        <v>33943</v>
      </c>
      <c r="J756" s="1" t="str">
        <f>"00740218"</f>
        <v>00740218</v>
      </c>
      <c r="K756" s="1" t="str">
        <f>"６２０　　　　　　　　　　　　　　　　　"</f>
        <v>６２０　　　　　　　　　　　　　　　　　</v>
      </c>
      <c r="L756" s="1"/>
    </row>
    <row r="757" spans="1:12" ht="18" customHeight="1" x14ac:dyDescent="0.15">
      <c r="A757" s="11">
        <v>1914</v>
      </c>
      <c r="B757" s="11" t="s">
        <v>53</v>
      </c>
      <c r="C757" s="11" t="s">
        <v>156</v>
      </c>
      <c r="D757" s="11">
        <v>1</v>
      </c>
      <c r="E757" s="11" t="s">
        <v>4</v>
      </c>
      <c r="F757" s="12">
        <v>20600</v>
      </c>
      <c r="G757" s="12">
        <v>20600</v>
      </c>
      <c r="H757" s="11" t="str">
        <f t="shared" si="28"/>
        <v>平成4年12月5日</v>
      </c>
      <c r="I757" s="22">
        <f t="shared" si="27"/>
        <v>33943</v>
      </c>
      <c r="J757" s="1" t="str">
        <f>"00740220"</f>
        <v>00740220</v>
      </c>
      <c r="K757" s="1" t="str">
        <f>"６２１　　　　　　　　　　　　　　　　　"</f>
        <v>６２１　　　　　　　　　　　　　　　　　</v>
      </c>
      <c r="L757" s="1"/>
    </row>
    <row r="758" spans="1:12" ht="18" customHeight="1" x14ac:dyDescent="0.15">
      <c r="A758" s="11">
        <v>1915</v>
      </c>
      <c r="B758" s="11" t="s">
        <v>53</v>
      </c>
      <c r="C758" s="11" t="s">
        <v>156</v>
      </c>
      <c r="D758" s="11">
        <v>1</v>
      </c>
      <c r="E758" s="11" t="s">
        <v>4</v>
      </c>
      <c r="F758" s="12">
        <v>20600</v>
      </c>
      <c r="G758" s="12">
        <v>20600</v>
      </c>
      <c r="H758" s="11" t="str">
        <f t="shared" si="28"/>
        <v>平成4年12月5日</v>
      </c>
      <c r="I758" s="22">
        <f t="shared" si="27"/>
        <v>33943</v>
      </c>
      <c r="J758" s="1" t="str">
        <f>"00740222"</f>
        <v>00740222</v>
      </c>
      <c r="K758" s="1" t="str">
        <f>"６２２　　　　　　　　　　　　　　　　　"</f>
        <v>６２２　　　　　　　　　　　　　　　　　</v>
      </c>
      <c r="L758" s="1"/>
    </row>
    <row r="759" spans="1:12" ht="18" customHeight="1" x14ac:dyDescent="0.15">
      <c r="A759" s="11">
        <v>1916</v>
      </c>
      <c r="B759" s="11" t="s">
        <v>53</v>
      </c>
      <c r="C759" s="11" t="s">
        <v>156</v>
      </c>
      <c r="D759" s="11">
        <v>1</v>
      </c>
      <c r="E759" s="11" t="s">
        <v>4</v>
      </c>
      <c r="F759" s="12">
        <v>20600</v>
      </c>
      <c r="G759" s="12">
        <v>20600</v>
      </c>
      <c r="H759" s="11" t="str">
        <f t="shared" si="28"/>
        <v>平成4年12月5日</v>
      </c>
      <c r="I759" s="22">
        <f t="shared" si="27"/>
        <v>33943</v>
      </c>
      <c r="J759" s="1" t="str">
        <f>"00740224"</f>
        <v>00740224</v>
      </c>
      <c r="K759" s="1" t="str">
        <f>"６２４　　　　　　　　　　　　　　　　　"</f>
        <v>６２４　　　　　　　　　　　　　　　　　</v>
      </c>
      <c r="L759" s="1"/>
    </row>
    <row r="760" spans="1:12" ht="18" customHeight="1" x14ac:dyDescent="0.15">
      <c r="A760" s="11">
        <v>1917</v>
      </c>
      <c r="B760" s="11" t="s">
        <v>53</v>
      </c>
      <c r="C760" s="11" t="s">
        <v>156</v>
      </c>
      <c r="D760" s="11">
        <v>1</v>
      </c>
      <c r="E760" s="11" t="s">
        <v>4</v>
      </c>
      <c r="F760" s="12">
        <v>20600</v>
      </c>
      <c r="G760" s="12">
        <v>20600</v>
      </c>
      <c r="H760" s="11" t="str">
        <f t="shared" si="28"/>
        <v>平成4年12月5日</v>
      </c>
      <c r="I760" s="22">
        <f t="shared" si="27"/>
        <v>33943</v>
      </c>
      <c r="J760" s="1" t="str">
        <f>"00740226"</f>
        <v>00740226</v>
      </c>
      <c r="K760" s="1" t="str">
        <f>"６２５　　　　　　　　　　　　　　　　　"</f>
        <v>６２５　　　　　　　　　　　　　　　　　</v>
      </c>
      <c r="L760" s="1"/>
    </row>
    <row r="761" spans="1:12" ht="18" customHeight="1" x14ac:dyDescent="0.15">
      <c r="A761" s="11">
        <v>1918</v>
      </c>
      <c r="B761" s="11" t="s">
        <v>53</v>
      </c>
      <c r="C761" s="11" t="s">
        <v>156</v>
      </c>
      <c r="D761" s="11">
        <v>1</v>
      </c>
      <c r="E761" s="11" t="s">
        <v>4</v>
      </c>
      <c r="F761" s="12">
        <v>20600</v>
      </c>
      <c r="G761" s="12">
        <v>20600</v>
      </c>
      <c r="H761" s="11" t="str">
        <f t="shared" si="28"/>
        <v>平成4年12月5日</v>
      </c>
      <c r="I761" s="22">
        <f t="shared" si="27"/>
        <v>33943</v>
      </c>
      <c r="J761" s="1" t="str">
        <f>"00740228"</f>
        <v>00740228</v>
      </c>
      <c r="K761" s="1" t="str">
        <f>"６２７　　　　　　　　　　　　　　　　　"</f>
        <v>６２７　　　　　　　　　　　　　　　　　</v>
      </c>
      <c r="L761" s="1"/>
    </row>
    <row r="762" spans="1:12" ht="18" customHeight="1" x14ac:dyDescent="0.15">
      <c r="A762" s="11">
        <v>1919</v>
      </c>
      <c r="B762" s="11" t="s">
        <v>53</v>
      </c>
      <c r="C762" s="11" t="s">
        <v>156</v>
      </c>
      <c r="D762" s="11">
        <v>1</v>
      </c>
      <c r="E762" s="11" t="s">
        <v>4</v>
      </c>
      <c r="F762" s="12">
        <v>20600</v>
      </c>
      <c r="G762" s="12">
        <v>20600</v>
      </c>
      <c r="H762" s="11" t="str">
        <f t="shared" si="28"/>
        <v>平成4年12月5日</v>
      </c>
      <c r="I762" s="22">
        <f t="shared" si="27"/>
        <v>33943</v>
      </c>
      <c r="J762" s="1" t="str">
        <f>"00740230"</f>
        <v>00740230</v>
      </c>
      <c r="K762" s="1" t="str">
        <f>"６２８　　　　　　　　　　　　　　　　　"</f>
        <v>６２８　　　　　　　　　　　　　　　　　</v>
      </c>
      <c r="L762" s="1"/>
    </row>
    <row r="763" spans="1:12" ht="18" customHeight="1" x14ac:dyDescent="0.15">
      <c r="A763" s="11">
        <v>1920</v>
      </c>
      <c r="B763" s="11" t="s">
        <v>53</v>
      </c>
      <c r="C763" s="11" t="s">
        <v>156</v>
      </c>
      <c r="D763" s="11">
        <v>1</v>
      </c>
      <c r="E763" s="11" t="s">
        <v>4</v>
      </c>
      <c r="F763" s="12">
        <v>20600</v>
      </c>
      <c r="G763" s="12">
        <v>20600</v>
      </c>
      <c r="H763" s="11" t="str">
        <f t="shared" si="28"/>
        <v>平成4年12月5日</v>
      </c>
      <c r="I763" s="22">
        <f t="shared" si="27"/>
        <v>33943</v>
      </c>
      <c r="J763" s="1" t="str">
        <f>"00740232"</f>
        <v>00740232</v>
      </c>
      <c r="K763" s="1" t="str">
        <f>"６３０　　　　　　　　　　　　　　　　　"</f>
        <v>６３０　　　　　　　　　　　　　　　　　</v>
      </c>
      <c r="L763" s="1"/>
    </row>
    <row r="764" spans="1:12" ht="18" customHeight="1" x14ac:dyDescent="0.15">
      <c r="A764" s="11">
        <v>1921</v>
      </c>
      <c r="B764" s="11" t="s">
        <v>53</v>
      </c>
      <c r="C764" s="11" t="s">
        <v>156</v>
      </c>
      <c r="D764" s="11">
        <v>1</v>
      </c>
      <c r="E764" s="11" t="s">
        <v>4</v>
      </c>
      <c r="F764" s="12">
        <v>20600</v>
      </c>
      <c r="G764" s="12">
        <v>20600</v>
      </c>
      <c r="H764" s="11" t="str">
        <f t="shared" si="28"/>
        <v>平成4年12月5日</v>
      </c>
      <c r="I764" s="22">
        <f t="shared" si="27"/>
        <v>33943</v>
      </c>
      <c r="J764" s="1" t="str">
        <f>"00740234"</f>
        <v>00740234</v>
      </c>
      <c r="K764" s="1" t="str">
        <f>"６３１　　　　　　　　　　　　　　　　　"</f>
        <v>６３１　　　　　　　　　　　　　　　　　</v>
      </c>
      <c r="L764" s="1"/>
    </row>
    <row r="765" spans="1:12" ht="18" customHeight="1" x14ac:dyDescent="0.15">
      <c r="A765" s="11">
        <v>1922</v>
      </c>
      <c r="B765" s="11" t="s">
        <v>53</v>
      </c>
      <c r="C765" s="11" t="s">
        <v>156</v>
      </c>
      <c r="D765" s="11">
        <v>1</v>
      </c>
      <c r="E765" s="11" t="s">
        <v>4</v>
      </c>
      <c r="F765" s="12">
        <v>20600</v>
      </c>
      <c r="G765" s="12">
        <v>20600</v>
      </c>
      <c r="H765" s="11" t="str">
        <f t="shared" si="28"/>
        <v>平成4年12月5日</v>
      </c>
      <c r="I765" s="22">
        <f t="shared" si="27"/>
        <v>33943</v>
      </c>
      <c r="J765" s="1" t="str">
        <f>"00740236"</f>
        <v>00740236</v>
      </c>
      <c r="K765" s="1" t="str">
        <f>"６３２　　　　　　　　　　　　　　　　　"</f>
        <v>６３２　　　　　　　　　　　　　　　　　</v>
      </c>
      <c r="L765" s="1"/>
    </row>
    <row r="766" spans="1:12" ht="18" customHeight="1" x14ac:dyDescent="0.15">
      <c r="A766" s="11">
        <v>1923</v>
      </c>
      <c r="B766" s="11" t="s">
        <v>53</v>
      </c>
      <c r="C766" s="11" t="s">
        <v>156</v>
      </c>
      <c r="D766" s="11">
        <v>1</v>
      </c>
      <c r="E766" s="11" t="s">
        <v>4</v>
      </c>
      <c r="F766" s="12">
        <v>20600</v>
      </c>
      <c r="G766" s="12">
        <v>20600</v>
      </c>
      <c r="H766" s="11" t="str">
        <f t="shared" si="28"/>
        <v>平成4年12月5日</v>
      </c>
      <c r="I766" s="22">
        <f t="shared" si="27"/>
        <v>33943</v>
      </c>
      <c r="J766" s="1" t="str">
        <f>"00740239"</f>
        <v>00740239</v>
      </c>
      <c r="K766" s="1" t="str">
        <f>"６３３　　　　　　　　　　　　　　　　　"</f>
        <v>６３３　　　　　　　　　　　　　　　　　</v>
      </c>
      <c r="L766" s="1"/>
    </row>
    <row r="767" spans="1:12" ht="18" customHeight="1" x14ac:dyDescent="0.15">
      <c r="A767" s="11">
        <v>1924</v>
      </c>
      <c r="B767" s="11" t="s">
        <v>53</v>
      </c>
      <c r="C767" s="11" t="s">
        <v>156</v>
      </c>
      <c r="D767" s="11">
        <v>1</v>
      </c>
      <c r="E767" s="11" t="s">
        <v>4</v>
      </c>
      <c r="F767" s="12">
        <v>20600</v>
      </c>
      <c r="G767" s="12">
        <v>20600</v>
      </c>
      <c r="H767" s="11" t="str">
        <f t="shared" si="28"/>
        <v>平成4年12月5日</v>
      </c>
      <c r="I767" s="22">
        <f t="shared" si="27"/>
        <v>33943</v>
      </c>
      <c r="J767" s="1" t="str">
        <f>"00740241"</f>
        <v>00740241</v>
      </c>
      <c r="K767" s="1" t="str">
        <f>"６３４　　　　　　　　　　　　　　　　　"</f>
        <v>６３４　　　　　　　　　　　　　　　　　</v>
      </c>
      <c r="L767" s="1"/>
    </row>
    <row r="768" spans="1:12" ht="18" customHeight="1" x14ac:dyDescent="0.15">
      <c r="A768" s="11">
        <v>1925</v>
      </c>
      <c r="B768" s="11" t="s">
        <v>53</v>
      </c>
      <c r="C768" s="11" t="s">
        <v>156</v>
      </c>
      <c r="D768" s="11">
        <v>1</v>
      </c>
      <c r="E768" s="11" t="s">
        <v>4</v>
      </c>
      <c r="F768" s="12">
        <v>20600</v>
      </c>
      <c r="G768" s="12">
        <v>20600</v>
      </c>
      <c r="H768" s="11" t="str">
        <f t="shared" si="28"/>
        <v>平成4年12月5日</v>
      </c>
      <c r="I768" s="22">
        <f t="shared" si="27"/>
        <v>33943</v>
      </c>
      <c r="J768" s="1" t="str">
        <f>"00740243"</f>
        <v>00740243</v>
      </c>
      <c r="K768" s="1" t="str">
        <f>"６３５　　　　　　　　　　　　　　　　　"</f>
        <v>６３５　　　　　　　　　　　　　　　　　</v>
      </c>
      <c r="L768" s="1"/>
    </row>
    <row r="769" spans="1:12" ht="18" customHeight="1" x14ac:dyDescent="0.15">
      <c r="A769" s="11">
        <v>1926</v>
      </c>
      <c r="B769" s="11" t="s">
        <v>53</v>
      </c>
      <c r="C769" s="11" t="s">
        <v>156</v>
      </c>
      <c r="D769" s="11">
        <v>1</v>
      </c>
      <c r="E769" s="11" t="s">
        <v>4</v>
      </c>
      <c r="F769" s="12">
        <v>20600</v>
      </c>
      <c r="G769" s="12">
        <v>20600</v>
      </c>
      <c r="H769" s="11" t="str">
        <f t="shared" si="28"/>
        <v>平成4年12月5日</v>
      </c>
      <c r="I769" s="22">
        <f t="shared" si="27"/>
        <v>33943</v>
      </c>
      <c r="J769" s="1" t="str">
        <f>"00740245"</f>
        <v>00740245</v>
      </c>
      <c r="K769" s="1" t="str">
        <f>"６３６　　　　　　　　　　　　　　　　　"</f>
        <v>６３６　　　　　　　　　　　　　　　　　</v>
      </c>
      <c r="L769" s="1"/>
    </row>
    <row r="770" spans="1:12" ht="18" customHeight="1" x14ac:dyDescent="0.15">
      <c r="A770" s="11">
        <v>1927</v>
      </c>
      <c r="B770" s="11" t="s">
        <v>53</v>
      </c>
      <c r="C770" s="11" t="s">
        <v>156</v>
      </c>
      <c r="D770" s="11">
        <v>1</v>
      </c>
      <c r="E770" s="11" t="s">
        <v>4</v>
      </c>
      <c r="F770" s="12">
        <v>20600</v>
      </c>
      <c r="G770" s="12">
        <v>20600</v>
      </c>
      <c r="H770" s="11" t="str">
        <f t="shared" si="28"/>
        <v>平成4年12月5日</v>
      </c>
      <c r="I770" s="22">
        <f t="shared" si="27"/>
        <v>33943</v>
      </c>
      <c r="J770" s="1" t="str">
        <f>"00740247"</f>
        <v>00740247</v>
      </c>
      <c r="K770" s="1" t="str">
        <f>"６３７　　　　　　　　　　　　　　　　　"</f>
        <v>６３７　　　　　　　　　　　　　　　　　</v>
      </c>
      <c r="L770" s="1"/>
    </row>
    <row r="771" spans="1:12" ht="18" customHeight="1" x14ac:dyDescent="0.15">
      <c r="A771" s="11">
        <v>1928</v>
      </c>
      <c r="B771" s="11" t="s">
        <v>53</v>
      </c>
      <c r="C771" s="11" t="s">
        <v>156</v>
      </c>
      <c r="D771" s="11">
        <v>1</v>
      </c>
      <c r="E771" s="11" t="s">
        <v>4</v>
      </c>
      <c r="F771" s="12">
        <v>20600</v>
      </c>
      <c r="G771" s="12">
        <v>20600</v>
      </c>
      <c r="H771" s="11" t="str">
        <f t="shared" si="28"/>
        <v>平成4年12月5日</v>
      </c>
      <c r="I771" s="22">
        <f t="shared" si="27"/>
        <v>33943</v>
      </c>
      <c r="J771" s="1" t="str">
        <f>"00740249"</f>
        <v>00740249</v>
      </c>
      <c r="K771" s="1" t="str">
        <f>"６３８　　　　　　　　　　　　　　　　　"</f>
        <v>６３８　　　　　　　　　　　　　　　　　</v>
      </c>
      <c r="L771" s="1"/>
    </row>
    <row r="772" spans="1:12" ht="18" customHeight="1" x14ac:dyDescent="0.15">
      <c r="A772" s="11">
        <v>1929</v>
      </c>
      <c r="B772" s="11" t="s">
        <v>53</v>
      </c>
      <c r="C772" s="11" t="s">
        <v>156</v>
      </c>
      <c r="D772" s="11">
        <v>1</v>
      </c>
      <c r="E772" s="11" t="s">
        <v>4</v>
      </c>
      <c r="F772" s="12">
        <v>20600</v>
      </c>
      <c r="G772" s="12">
        <v>20600</v>
      </c>
      <c r="H772" s="11" t="str">
        <f t="shared" si="28"/>
        <v>平成4年12月5日</v>
      </c>
      <c r="I772" s="22">
        <f t="shared" si="27"/>
        <v>33943</v>
      </c>
      <c r="J772" s="1" t="str">
        <f>"00740250"</f>
        <v>00740250</v>
      </c>
      <c r="K772" s="1" t="str">
        <f>"６３９　　　　　　　　　　　　　　　　　"</f>
        <v>６３９　　　　　　　　　　　　　　　　　</v>
      </c>
      <c r="L772" s="1"/>
    </row>
    <row r="773" spans="1:12" ht="18" customHeight="1" x14ac:dyDescent="0.15">
      <c r="A773" s="11">
        <v>1930</v>
      </c>
      <c r="B773" s="11" t="s">
        <v>53</v>
      </c>
      <c r="C773" s="11" t="s">
        <v>156</v>
      </c>
      <c r="D773" s="11">
        <v>1</v>
      </c>
      <c r="E773" s="11" t="s">
        <v>4</v>
      </c>
      <c r="F773" s="12">
        <v>20600</v>
      </c>
      <c r="G773" s="12">
        <v>20600</v>
      </c>
      <c r="H773" s="11" t="str">
        <f t="shared" si="28"/>
        <v>平成4年12月5日</v>
      </c>
      <c r="I773" s="22">
        <f t="shared" si="27"/>
        <v>33943</v>
      </c>
      <c r="J773" s="1" t="str">
        <f>"00740252"</f>
        <v>00740252</v>
      </c>
      <c r="K773" s="1" t="str">
        <f>"６４０　　　　　　　　　　　　　　　　　"</f>
        <v>６４０　　　　　　　　　　　　　　　　　</v>
      </c>
      <c r="L773" s="1"/>
    </row>
    <row r="774" spans="1:12" ht="18" customHeight="1" x14ac:dyDescent="0.15">
      <c r="A774" s="11">
        <v>1931</v>
      </c>
      <c r="B774" s="11" t="s">
        <v>53</v>
      </c>
      <c r="C774" s="11" t="s">
        <v>156</v>
      </c>
      <c r="D774" s="11">
        <v>1</v>
      </c>
      <c r="E774" s="11" t="s">
        <v>4</v>
      </c>
      <c r="F774" s="12">
        <v>20600</v>
      </c>
      <c r="G774" s="12">
        <v>20600</v>
      </c>
      <c r="H774" s="11" t="str">
        <f t="shared" si="28"/>
        <v>平成4年12月5日</v>
      </c>
      <c r="I774" s="22">
        <f t="shared" si="27"/>
        <v>33943</v>
      </c>
      <c r="J774" s="1" t="str">
        <f>"00740254"</f>
        <v>00740254</v>
      </c>
      <c r="K774" s="1" t="str">
        <f>"６４１　　　　　　　　　　　　　　　　　"</f>
        <v>６４１　　　　　　　　　　　　　　　　　</v>
      </c>
      <c r="L774" s="1"/>
    </row>
    <row r="775" spans="1:12" ht="18" customHeight="1" x14ac:dyDescent="0.15">
      <c r="A775" s="11">
        <v>1932</v>
      </c>
      <c r="B775" s="11" t="s">
        <v>53</v>
      </c>
      <c r="C775" s="11" t="s">
        <v>156</v>
      </c>
      <c r="D775" s="11">
        <v>1</v>
      </c>
      <c r="E775" s="11" t="s">
        <v>4</v>
      </c>
      <c r="F775" s="12">
        <v>20600</v>
      </c>
      <c r="G775" s="12">
        <v>20600</v>
      </c>
      <c r="H775" s="11" t="str">
        <f t="shared" si="28"/>
        <v>平成4年12月5日</v>
      </c>
      <c r="I775" s="22">
        <f t="shared" si="27"/>
        <v>33943</v>
      </c>
      <c r="J775" s="1" t="str">
        <f>"00740256"</f>
        <v>00740256</v>
      </c>
      <c r="K775" s="1" t="str">
        <f>"６４２　　　　　　　　　　　　　　　　　"</f>
        <v>６４２　　　　　　　　　　　　　　　　　</v>
      </c>
      <c r="L775" s="1"/>
    </row>
    <row r="776" spans="1:12" ht="18" customHeight="1" x14ac:dyDescent="0.15">
      <c r="A776" s="11">
        <v>1933</v>
      </c>
      <c r="B776" s="11" t="s">
        <v>53</v>
      </c>
      <c r="C776" s="11" t="s">
        <v>156</v>
      </c>
      <c r="D776" s="11">
        <v>1</v>
      </c>
      <c r="E776" s="11" t="s">
        <v>4</v>
      </c>
      <c r="F776" s="12">
        <v>20600</v>
      </c>
      <c r="G776" s="12">
        <v>20600</v>
      </c>
      <c r="H776" s="11" t="str">
        <f t="shared" si="28"/>
        <v>平成4年12月5日</v>
      </c>
      <c r="I776" s="22">
        <f t="shared" si="27"/>
        <v>33943</v>
      </c>
      <c r="J776" s="1" t="str">
        <f>"00740258"</f>
        <v>00740258</v>
      </c>
      <c r="K776" s="1" t="str">
        <f>"６４３　　　　　　　　　　　　　　　　　"</f>
        <v>６４３　　　　　　　　　　　　　　　　　</v>
      </c>
      <c r="L776" s="1"/>
    </row>
    <row r="777" spans="1:12" ht="18" customHeight="1" x14ac:dyDescent="0.15">
      <c r="A777" s="11">
        <v>1934</v>
      </c>
      <c r="B777" s="11" t="s">
        <v>53</v>
      </c>
      <c r="C777" s="11" t="s">
        <v>156</v>
      </c>
      <c r="D777" s="11">
        <v>1</v>
      </c>
      <c r="E777" s="11" t="s">
        <v>4</v>
      </c>
      <c r="F777" s="12">
        <v>20600</v>
      </c>
      <c r="G777" s="12">
        <v>20600</v>
      </c>
      <c r="H777" s="11" t="str">
        <f t="shared" si="28"/>
        <v>平成4年12月5日</v>
      </c>
      <c r="I777" s="22">
        <f t="shared" si="27"/>
        <v>33943</v>
      </c>
      <c r="J777" s="1" t="str">
        <f>"00740260"</f>
        <v>00740260</v>
      </c>
      <c r="K777" s="1" t="str">
        <f>"６４４　　　　　　　　　　　　　　　　　"</f>
        <v>６４４　　　　　　　　　　　　　　　　　</v>
      </c>
      <c r="L777" s="1"/>
    </row>
    <row r="778" spans="1:12" ht="18" customHeight="1" x14ac:dyDescent="0.15">
      <c r="A778" s="11">
        <v>1935</v>
      </c>
      <c r="B778" s="11" t="s">
        <v>53</v>
      </c>
      <c r="C778" s="11" t="s">
        <v>156</v>
      </c>
      <c r="D778" s="11">
        <v>1</v>
      </c>
      <c r="E778" s="11" t="s">
        <v>4</v>
      </c>
      <c r="F778" s="12">
        <v>20600</v>
      </c>
      <c r="G778" s="12">
        <v>20600</v>
      </c>
      <c r="H778" s="11" t="str">
        <f t="shared" si="28"/>
        <v>平成4年12月5日</v>
      </c>
      <c r="I778" s="22">
        <f t="shared" si="27"/>
        <v>33943</v>
      </c>
      <c r="J778" s="1" t="str">
        <f>"00740262"</f>
        <v>00740262</v>
      </c>
      <c r="K778" s="1" t="str">
        <f>"６４５　　　　　　　　　　　　　　　　　"</f>
        <v>６４５　　　　　　　　　　　　　　　　　</v>
      </c>
      <c r="L778" s="1"/>
    </row>
    <row r="779" spans="1:12" ht="18" customHeight="1" x14ac:dyDescent="0.15">
      <c r="A779" s="11">
        <v>1936</v>
      </c>
      <c r="B779" s="11" t="s">
        <v>53</v>
      </c>
      <c r="C779" s="11" t="s">
        <v>156</v>
      </c>
      <c r="D779" s="11">
        <v>1</v>
      </c>
      <c r="E779" s="11" t="s">
        <v>4</v>
      </c>
      <c r="F779" s="12">
        <v>20600</v>
      </c>
      <c r="G779" s="12">
        <v>20600</v>
      </c>
      <c r="H779" s="11" t="str">
        <f t="shared" si="28"/>
        <v>平成4年12月5日</v>
      </c>
      <c r="I779" s="22">
        <f t="shared" si="27"/>
        <v>33943</v>
      </c>
      <c r="J779" s="1" t="str">
        <f>"00740264"</f>
        <v>00740264</v>
      </c>
      <c r="K779" s="1" t="str">
        <f>"６４６　　　　　　　　　　　　　　　　　"</f>
        <v>６４６　　　　　　　　　　　　　　　　　</v>
      </c>
      <c r="L779" s="1"/>
    </row>
    <row r="780" spans="1:12" ht="18" customHeight="1" x14ac:dyDescent="0.15">
      <c r="A780" s="11">
        <v>1937</v>
      </c>
      <c r="B780" s="11" t="s">
        <v>53</v>
      </c>
      <c r="C780" s="11" t="s">
        <v>156</v>
      </c>
      <c r="D780" s="11">
        <v>1</v>
      </c>
      <c r="E780" s="11" t="s">
        <v>4</v>
      </c>
      <c r="F780" s="12">
        <v>20600</v>
      </c>
      <c r="G780" s="12">
        <v>20600</v>
      </c>
      <c r="H780" s="11" t="str">
        <f t="shared" si="28"/>
        <v>平成4年12月5日</v>
      </c>
      <c r="I780" s="22">
        <f t="shared" si="27"/>
        <v>33943</v>
      </c>
      <c r="J780" s="1" t="str">
        <f>"00740266"</f>
        <v>00740266</v>
      </c>
      <c r="K780" s="1" t="str">
        <f>"６４７　　　　　　　　　　　　　　　　　"</f>
        <v>６４７　　　　　　　　　　　　　　　　　</v>
      </c>
      <c r="L780" s="1"/>
    </row>
    <row r="781" spans="1:12" ht="18" customHeight="1" x14ac:dyDescent="0.15">
      <c r="A781" s="11">
        <v>1938</v>
      </c>
      <c r="B781" s="11" t="s">
        <v>53</v>
      </c>
      <c r="C781" s="11" t="s">
        <v>156</v>
      </c>
      <c r="D781" s="11">
        <v>1</v>
      </c>
      <c r="E781" s="11" t="s">
        <v>4</v>
      </c>
      <c r="F781" s="12">
        <v>20600</v>
      </c>
      <c r="G781" s="12">
        <v>20600</v>
      </c>
      <c r="H781" s="11" t="str">
        <f t="shared" si="28"/>
        <v>平成4年12月5日</v>
      </c>
      <c r="I781" s="22">
        <f t="shared" si="27"/>
        <v>33943</v>
      </c>
      <c r="J781" s="1" t="str">
        <f>"00740269"</f>
        <v>00740269</v>
      </c>
      <c r="K781" s="1" t="str">
        <f>"６４８　　　　　　　　　　　　　　　　　"</f>
        <v>６４８　　　　　　　　　　　　　　　　　</v>
      </c>
      <c r="L781" s="1"/>
    </row>
    <row r="782" spans="1:12" ht="18" customHeight="1" x14ac:dyDescent="0.15">
      <c r="A782" s="11">
        <v>1939</v>
      </c>
      <c r="B782" s="11" t="s">
        <v>53</v>
      </c>
      <c r="C782" s="11" t="s">
        <v>156</v>
      </c>
      <c r="D782" s="11">
        <v>1</v>
      </c>
      <c r="E782" s="11" t="s">
        <v>4</v>
      </c>
      <c r="F782" s="12">
        <v>20600</v>
      </c>
      <c r="G782" s="12">
        <v>20600</v>
      </c>
      <c r="H782" s="11" t="str">
        <f t="shared" si="28"/>
        <v>平成4年12月5日</v>
      </c>
      <c r="I782" s="22">
        <f t="shared" si="27"/>
        <v>33943</v>
      </c>
      <c r="J782" s="1" t="str">
        <f>"00740271"</f>
        <v>00740271</v>
      </c>
      <c r="K782" s="1" t="str">
        <f>"６５０　　　　　　　　　　　　　　　　　"</f>
        <v>６５０　　　　　　　　　　　　　　　　　</v>
      </c>
      <c r="L782" s="1"/>
    </row>
    <row r="783" spans="1:12" ht="18" customHeight="1" x14ac:dyDescent="0.15">
      <c r="A783" s="11">
        <v>1940</v>
      </c>
      <c r="B783" s="11" t="s">
        <v>53</v>
      </c>
      <c r="C783" s="11" t="s">
        <v>156</v>
      </c>
      <c r="D783" s="11">
        <v>1</v>
      </c>
      <c r="E783" s="11" t="s">
        <v>4</v>
      </c>
      <c r="F783" s="12">
        <v>20600</v>
      </c>
      <c r="G783" s="12">
        <v>20600</v>
      </c>
      <c r="H783" s="11" t="str">
        <f t="shared" si="28"/>
        <v>平成4年12月5日</v>
      </c>
      <c r="I783" s="22">
        <f t="shared" si="27"/>
        <v>33943</v>
      </c>
      <c r="J783" s="1" t="str">
        <f>"00740273"</f>
        <v>00740273</v>
      </c>
      <c r="K783" s="1" t="str">
        <f>"６５１　　　　　　　　　　　　　　　　　"</f>
        <v>６５１　　　　　　　　　　　　　　　　　</v>
      </c>
      <c r="L783" s="1"/>
    </row>
    <row r="784" spans="1:12" ht="18" customHeight="1" x14ac:dyDescent="0.15">
      <c r="A784" s="11">
        <v>1941</v>
      </c>
      <c r="B784" s="11" t="s">
        <v>53</v>
      </c>
      <c r="C784" s="11" t="s">
        <v>156</v>
      </c>
      <c r="D784" s="11">
        <v>1</v>
      </c>
      <c r="E784" s="11" t="s">
        <v>4</v>
      </c>
      <c r="F784" s="12">
        <v>20600</v>
      </c>
      <c r="G784" s="12">
        <v>20600</v>
      </c>
      <c r="H784" s="11" t="str">
        <f t="shared" si="28"/>
        <v>平成4年12月5日</v>
      </c>
      <c r="I784" s="22">
        <f t="shared" si="27"/>
        <v>33943</v>
      </c>
      <c r="J784" s="1" t="str">
        <f>"00740275"</f>
        <v>00740275</v>
      </c>
      <c r="K784" s="1" t="str">
        <f>"６５３　　　　　　　　　　　　　　　　　"</f>
        <v>６５３　　　　　　　　　　　　　　　　　</v>
      </c>
      <c r="L784" s="1"/>
    </row>
    <row r="785" spans="1:12" ht="18" customHeight="1" x14ac:dyDescent="0.15">
      <c r="A785" s="11">
        <v>1942</v>
      </c>
      <c r="B785" s="11" t="s">
        <v>53</v>
      </c>
      <c r="C785" s="11" t="s">
        <v>156</v>
      </c>
      <c r="D785" s="11">
        <v>1</v>
      </c>
      <c r="E785" s="11" t="s">
        <v>4</v>
      </c>
      <c r="F785" s="12">
        <v>20600</v>
      </c>
      <c r="G785" s="12">
        <v>20600</v>
      </c>
      <c r="H785" s="11" t="str">
        <f t="shared" si="28"/>
        <v>平成4年12月5日</v>
      </c>
      <c r="I785" s="22">
        <f t="shared" si="27"/>
        <v>33943</v>
      </c>
      <c r="J785" s="1" t="str">
        <f>"00740277"</f>
        <v>00740277</v>
      </c>
      <c r="K785" s="1" t="str">
        <f>"６５４　　　　　　　　　　　　　　　　　"</f>
        <v>６５４　　　　　　　　　　　　　　　　　</v>
      </c>
      <c r="L785" s="1"/>
    </row>
    <row r="786" spans="1:12" ht="18" customHeight="1" x14ac:dyDescent="0.15">
      <c r="A786" s="11">
        <v>1943</v>
      </c>
      <c r="B786" s="11" t="s">
        <v>53</v>
      </c>
      <c r="C786" s="11" t="s">
        <v>156</v>
      </c>
      <c r="D786" s="11">
        <v>1</v>
      </c>
      <c r="E786" s="11" t="s">
        <v>4</v>
      </c>
      <c r="F786" s="12">
        <v>20600</v>
      </c>
      <c r="G786" s="12">
        <v>20600</v>
      </c>
      <c r="H786" s="11" t="str">
        <f t="shared" si="28"/>
        <v>平成4年12月5日</v>
      </c>
      <c r="I786" s="22">
        <f t="shared" ref="I786:I849" si="29">DATEVALUE(H786)</f>
        <v>33943</v>
      </c>
      <c r="J786" s="1" t="str">
        <f>"00740279"</f>
        <v>00740279</v>
      </c>
      <c r="K786" s="1" t="str">
        <f>"６５５　　　　　　　　　　　　　　　　　"</f>
        <v>６５５　　　　　　　　　　　　　　　　　</v>
      </c>
      <c r="L786" s="1"/>
    </row>
    <row r="787" spans="1:12" ht="18" customHeight="1" x14ac:dyDescent="0.15">
      <c r="A787" s="11">
        <v>1944</v>
      </c>
      <c r="B787" s="11" t="s">
        <v>53</v>
      </c>
      <c r="C787" s="11" t="s">
        <v>156</v>
      </c>
      <c r="D787" s="11">
        <v>1</v>
      </c>
      <c r="E787" s="11" t="s">
        <v>4</v>
      </c>
      <c r="F787" s="12">
        <v>20600</v>
      </c>
      <c r="G787" s="12">
        <v>20600</v>
      </c>
      <c r="H787" s="11" t="str">
        <f t="shared" si="28"/>
        <v>平成4年12月5日</v>
      </c>
      <c r="I787" s="22">
        <f t="shared" si="29"/>
        <v>33943</v>
      </c>
      <c r="J787" s="1" t="str">
        <f>"00740281"</f>
        <v>00740281</v>
      </c>
      <c r="K787" s="1" t="str">
        <f>"６５７　　　　　　　　　　　　　　　　　"</f>
        <v>６５７　　　　　　　　　　　　　　　　　</v>
      </c>
      <c r="L787" s="1"/>
    </row>
    <row r="788" spans="1:12" ht="18" customHeight="1" x14ac:dyDescent="0.15">
      <c r="A788" s="11">
        <v>1945</v>
      </c>
      <c r="B788" s="11" t="s">
        <v>53</v>
      </c>
      <c r="C788" s="11" t="s">
        <v>156</v>
      </c>
      <c r="D788" s="11">
        <v>1</v>
      </c>
      <c r="E788" s="11" t="s">
        <v>4</v>
      </c>
      <c r="F788" s="12">
        <v>20600</v>
      </c>
      <c r="G788" s="12">
        <v>20600</v>
      </c>
      <c r="H788" s="11" t="str">
        <f t="shared" si="28"/>
        <v>平成4年12月5日</v>
      </c>
      <c r="I788" s="22">
        <f t="shared" si="29"/>
        <v>33943</v>
      </c>
      <c r="J788" s="1" t="str">
        <f>"00740283"</f>
        <v>00740283</v>
      </c>
      <c r="K788" s="1" t="str">
        <f>"６５８　　　　　　　　　　　　　　　　　"</f>
        <v>６５８　　　　　　　　　　　　　　　　　</v>
      </c>
      <c r="L788" s="1"/>
    </row>
    <row r="789" spans="1:12" ht="18" customHeight="1" x14ac:dyDescent="0.15">
      <c r="A789" s="11">
        <v>1946</v>
      </c>
      <c r="B789" s="11" t="s">
        <v>53</v>
      </c>
      <c r="C789" s="11" t="s">
        <v>156</v>
      </c>
      <c r="D789" s="11">
        <v>1</v>
      </c>
      <c r="E789" s="11" t="s">
        <v>4</v>
      </c>
      <c r="F789" s="12">
        <v>20600</v>
      </c>
      <c r="G789" s="12">
        <v>20600</v>
      </c>
      <c r="H789" s="11" t="str">
        <f t="shared" si="28"/>
        <v>平成4年12月5日</v>
      </c>
      <c r="I789" s="22">
        <f t="shared" si="29"/>
        <v>33943</v>
      </c>
      <c r="J789" s="1" t="str">
        <f>"00740285"</f>
        <v>00740285</v>
      </c>
      <c r="K789" s="1" t="str">
        <f>"６５９　　　　　　　　　　　　　　　　　"</f>
        <v>６５９　　　　　　　　　　　　　　　　　</v>
      </c>
      <c r="L789" s="1"/>
    </row>
    <row r="790" spans="1:12" ht="18" customHeight="1" x14ac:dyDescent="0.15">
      <c r="A790" s="11">
        <v>1947</v>
      </c>
      <c r="B790" s="11" t="s">
        <v>53</v>
      </c>
      <c r="C790" s="11" t="s">
        <v>156</v>
      </c>
      <c r="D790" s="11">
        <v>1</v>
      </c>
      <c r="E790" s="11" t="s">
        <v>4</v>
      </c>
      <c r="F790" s="12">
        <v>20600</v>
      </c>
      <c r="G790" s="12">
        <v>20600</v>
      </c>
      <c r="H790" s="11" t="str">
        <f t="shared" si="28"/>
        <v>平成4年12月5日</v>
      </c>
      <c r="I790" s="22">
        <f t="shared" si="29"/>
        <v>33943</v>
      </c>
      <c r="J790" s="1" t="str">
        <f>"00740287"</f>
        <v>00740287</v>
      </c>
      <c r="K790" s="1" t="str">
        <f>"６６０　　　　　　　　　　　　　　　　　"</f>
        <v>６６０　　　　　　　　　　　　　　　　　</v>
      </c>
      <c r="L790" s="1"/>
    </row>
    <row r="791" spans="1:12" ht="18" customHeight="1" x14ac:dyDescent="0.15">
      <c r="A791" s="11">
        <v>1948</v>
      </c>
      <c r="B791" s="11" t="s">
        <v>53</v>
      </c>
      <c r="C791" s="11" t="s">
        <v>156</v>
      </c>
      <c r="D791" s="11">
        <v>1</v>
      </c>
      <c r="E791" s="11" t="s">
        <v>4</v>
      </c>
      <c r="F791" s="12">
        <v>20600</v>
      </c>
      <c r="G791" s="12">
        <v>20600</v>
      </c>
      <c r="H791" s="11" t="str">
        <f t="shared" si="28"/>
        <v>平成4年12月5日</v>
      </c>
      <c r="I791" s="22">
        <f t="shared" si="29"/>
        <v>33943</v>
      </c>
      <c r="J791" s="1" t="str">
        <f>"00740289"</f>
        <v>00740289</v>
      </c>
      <c r="K791" s="1" t="str">
        <f>"６６１　　　　　　　　　　　　　　　　　"</f>
        <v>６６１　　　　　　　　　　　　　　　　　</v>
      </c>
      <c r="L791" s="1"/>
    </row>
    <row r="792" spans="1:12" ht="18" customHeight="1" x14ac:dyDescent="0.15">
      <c r="A792" s="11">
        <v>1949</v>
      </c>
      <c r="B792" s="11" t="s">
        <v>53</v>
      </c>
      <c r="C792" s="11" t="s">
        <v>156</v>
      </c>
      <c r="D792" s="11">
        <v>1</v>
      </c>
      <c r="E792" s="11" t="s">
        <v>4</v>
      </c>
      <c r="F792" s="12">
        <v>20600</v>
      </c>
      <c r="G792" s="12">
        <v>20600</v>
      </c>
      <c r="H792" s="11" t="str">
        <f t="shared" si="28"/>
        <v>平成4年12月5日</v>
      </c>
      <c r="I792" s="22">
        <f t="shared" si="29"/>
        <v>33943</v>
      </c>
      <c r="J792" s="1" t="str">
        <f>"00740291"</f>
        <v>00740291</v>
      </c>
      <c r="K792" s="1" t="str">
        <f>"６６２　　　　　　　　　　　　　　　　　"</f>
        <v>６６２　　　　　　　　　　　　　　　　　</v>
      </c>
      <c r="L792" s="1"/>
    </row>
    <row r="793" spans="1:12" ht="18" customHeight="1" x14ac:dyDescent="0.15">
      <c r="A793" s="11">
        <v>1950</v>
      </c>
      <c r="B793" s="11" t="s">
        <v>53</v>
      </c>
      <c r="C793" s="11" t="s">
        <v>156</v>
      </c>
      <c r="D793" s="11">
        <v>1</v>
      </c>
      <c r="E793" s="11" t="s">
        <v>4</v>
      </c>
      <c r="F793" s="12">
        <v>20600</v>
      </c>
      <c r="G793" s="12">
        <v>20600</v>
      </c>
      <c r="H793" s="11" t="str">
        <f t="shared" si="28"/>
        <v>平成4年12月5日</v>
      </c>
      <c r="I793" s="22">
        <f t="shared" si="29"/>
        <v>33943</v>
      </c>
      <c r="J793" s="1" t="str">
        <f>"00740293"</f>
        <v>00740293</v>
      </c>
      <c r="K793" s="1" t="str">
        <f>"６６３　　　　　　　　　　　　　　　　　"</f>
        <v>６６３　　　　　　　　　　　　　　　　　</v>
      </c>
      <c r="L793" s="1"/>
    </row>
    <row r="794" spans="1:12" ht="18" customHeight="1" x14ac:dyDescent="0.15">
      <c r="A794" s="11">
        <v>1951</v>
      </c>
      <c r="B794" s="11" t="s">
        <v>53</v>
      </c>
      <c r="C794" s="11" t="s">
        <v>156</v>
      </c>
      <c r="D794" s="11">
        <v>1</v>
      </c>
      <c r="E794" s="11" t="s">
        <v>4</v>
      </c>
      <c r="F794" s="12">
        <v>20600</v>
      </c>
      <c r="G794" s="12">
        <v>20600</v>
      </c>
      <c r="H794" s="11" t="str">
        <f t="shared" si="28"/>
        <v>平成4年12月5日</v>
      </c>
      <c r="I794" s="22">
        <f t="shared" si="29"/>
        <v>33943</v>
      </c>
      <c r="J794" s="1" t="str">
        <f>"00740295"</f>
        <v>00740295</v>
      </c>
      <c r="K794" s="1" t="str">
        <f>"６６４　　　　　　　　　　　　　　　　　"</f>
        <v>６６４　　　　　　　　　　　　　　　　　</v>
      </c>
      <c r="L794" s="1"/>
    </row>
    <row r="795" spans="1:12" ht="18" customHeight="1" x14ac:dyDescent="0.15">
      <c r="A795" s="11">
        <v>1952</v>
      </c>
      <c r="B795" s="11" t="s">
        <v>53</v>
      </c>
      <c r="C795" s="11" t="s">
        <v>156</v>
      </c>
      <c r="D795" s="11">
        <v>1</v>
      </c>
      <c r="E795" s="11" t="s">
        <v>4</v>
      </c>
      <c r="F795" s="12">
        <v>20600</v>
      </c>
      <c r="G795" s="12">
        <v>20600</v>
      </c>
      <c r="H795" s="11" t="str">
        <f t="shared" si="28"/>
        <v>平成4年12月5日</v>
      </c>
      <c r="I795" s="22">
        <f t="shared" si="29"/>
        <v>33943</v>
      </c>
      <c r="J795" s="1" t="str">
        <f>"00740297"</f>
        <v>00740297</v>
      </c>
      <c r="K795" s="1" t="str">
        <f>"６６５　　　　　　　　　　　　　　　　　"</f>
        <v>６６５　　　　　　　　　　　　　　　　　</v>
      </c>
      <c r="L795" s="1"/>
    </row>
    <row r="796" spans="1:12" ht="18" customHeight="1" x14ac:dyDescent="0.15">
      <c r="A796" s="11">
        <v>1953</v>
      </c>
      <c r="B796" s="11" t="s">
        <v>53</v>
      </c>
      <c r="C796" s="11" t="s">
        <v>156</v>
      </c>
      <c r="D796" s="11">
        <v>1</v>
      </c>
      <c r="E796" s="11" t="s">
        <v>4</v>
      </c>
      <c r="F796" s="12">
        <v>20600</v>
      </c>
      <c r="G796" s="12">
        <v>20600</v>
      </c>
      <c r="H796" s="11" t="str">
        <f t="shared" si="28"/>
        <v>平成4年12月5日</v>
      </c>
      <c r="I796" s="22">
        <f t="shared" si="29"/>
        <v>33943</v>
      </c>
      <c r="J796" s="1" t="str">
        <f>"00740299"</f>
        <v>00740299</v>
      </c>
      <c r="K796" s="1" t="str">
        <f>"６６６　　　　　　　　　　　　　　　　　"</f>
        <v>６６６　　　　　　　　　　　　　　　　　</v>
      </c>
      <c r="L796" s="1"/>
    </row>
    <row r="797" spans="1:12" ht="18" customHeight="1" x14ac:dyDescent="0.15">
      <c r="A797" s="11">
        <v>1954</v>
      </c>
      <c r="B797" s="11" t="s">
        <v>53</v>
      </c>
      <c r="C797" s="11" t="s">
        <v>156</v>
      </c>
      <c r="D797" s="11">
        <v>1</v>
      </c>
      <c r="E797" s="11" t="s">
        <v>4</v>
      </c>
      <c r="F797" s="12">
        <v>20600</v>
      </c>
      <c r="G797" s="12">
        <v>20600</v>
      </c>
      <c r="H797" s="11" t="str">
        <f t="shared" si="28"/>
        <v>平成4年12月5日</v>
      </c>
      <c r="I797" s="22">
        <f t="shared" si="29"/>
        <v>33943</v>
      </c>
      <c r="J797" s="1" t="str">
        <f>"00740301"</f>
        <v>00740301</v>
      </c>
      <c r="K797" s="1" t="str">
        <f>"６６７　　　　　　　　　　　　　　　　　"</f>
        <v>６６７　　　　　　　　　　　　　　　　　</v>
      </c>
      <c r="L797" s="1"/>
    </row>
    <row r="798" spans="1:12" ht="18" customHeight="1" x14ac:dyDescent="0.15">
      <c r="A798" s="11">
        <v>1955</v>
      </c>
      <c r="B798" s="11" t="s">
        <v>53</v>
      </c>
      <c r="C798" s="11" t="s">
        <v>156</v>
      </c>
      <c r="D798" s="11">
        <v>1</v>
      </c>
      <c r="E798" s="11" t="s">
        <v>4</v>
      </c>
      <c r="F798" s="12">
        <v>20600</v>
      </c>
      <c r="G798" s="12">
        <v>20600</v>
      </c>
      <c r="H798" s="11" t="str">
        <f t="shared" si="28"/>
        <v>平成4年12月5日</v>
      </c>
      <c r="I798" s="22">
        <f t="shared" si="29"/>
        <v>33943</v>
      </c>
      <c r="J798" s="1" t="str">
        <f>"00740303"</f>
        <v>00740303</v>
      </c>
      <c r="K798" s="1" t="str">
        <f>"６６８　　　　　　　　　　　　　　　　　"</f>
        <v>６６８　　　　　　　　　　　　　　　　　</v>
      </c>
      <c r="L798" s="1"/>
    </row>
    <row r="799" spans="1:12" ht="18" customHeight="1" x14ac:dyDescent="0.15">
      <c r="A799" s="11">
        <v>1956</v>
      </c>
      <c r="B799" s="11" t="s">
        <v>53</v>
      </c>
      <c r="C799" s="11" t="s">
        <v>156</v>
      </c>
      <c r="D799" s="11">
        <v>1</v>
      </c>
      <c r="E799" s="11" t="s">
        <v>4</v>
      </c>
      <c r="F799" s="12">
        <v>20600</v>
      </c>
      <c r="G799" s="12">
        <v>20600</v>
      </c>
      <c r="H799" s="11" t="str">
        <f t="shared" si="28"/>
        <v>平成4年12月5日</v>
      </c>
      <c r="I799" s="22">
        <f t="shared" si="29"/>
        <v>33943</v>
      </c>
      <c r="J799" s="1" t="str">
        <f>"00740305"</f>
        <v>00740305</v>
      </c>
      <c r="K799" s="1" t="str">
        <f>"６６９　　　　　　　　　　　　　　　　　"</f>
        <v>６６９　　　　　　　　　　　　　　　　　</v>
      </c>
      <c r="L799" s="1"/>
    </row>
    <row r="800" spans="1:12" ht="18" customHeight="1" x14ac:dyDescent="0.15">
      <c r="A800" s="11">
        <v>1957</v>
      </c>
      <c r="B800" s="11" t="s">
        <v>53</v>
      </c>
      <c r="C800" s="11" t="s">
        <v>156</v>
      </c>
      <c r="D800" s="11">
        <v>1</v>
      </c>
      <c r="E800" s="11" t="s">
        <v>4</v>
      </c>
      <c r="F800" s="12">
        <v>20600</v>
      </c>
      <c r="G800" s="12">
        <v>20600</v>
      </c>
      <c r="H800" s="11" t="str">
        <f t="shared" si="28"/>
        <v>平成4年12月5日</v>
      </c>
      <c r="I800" s="22">
        <f t="shared" si="29"/>
        <v>33943</v>
      </c>
      <c r="J800" s="1" t="str">
        <f>"00740307"</f>
        <v>00740307</v>
      </c>
      <c r="K800" s="1" t="str">
        <f>"６７０　　　　　　　　　　　　　　　　　"</f>
        <v>６７０　　　　　　　　　　　　　　　　　</v>
      </c>
      <c r="L800" s="1"/>
    </row>
    <row r="801" spans="1:12" ht="18" customHeight="1" x14ac:dyDescent="0.15">
      <c r="A801" s="11">
        <v>1958</v>
      </c>
      <c r="B801" s="11" t="s">
        <v>53</v>
      </c>
      <c r="C801" s="11" t="s">
        <v>156</v>
      </c>
      <c r="D801" s="11">
        <v>1</v>
      </c>
      <c r="E801" s="11" t="s">
        <v>4</v>
      </c>
      <c r="F801" s="12">
        <v>20600</v>
      </c>
      <c r="G801" s="12">
        <v>20600</v>
      </c>
      <c r="H801" s="11" t="str">
        <f t="shared" si="28"/>
        <v>平成4年12月5日</v>
      </c>
      <c r="I801" s="22">
        <f t="shared" si="29"/>
        <v>33943</v>
      </c>
      <c r="J801" s="1" t="str">
        <f>"00740309"</f>
        <v>00740309</v>
      </c>
      <c r="K801" s="1" t="str">
        <f>"６７１　　　　　　　　　　　　　　　　　"</f>
        <v>６７１　　　　　　　　　　　　　　　　　</v>
      </c>
      <c r="L801" s="1"/>
    </row>
    <row r="802" spans="1:12" ht="18" customHeight="1" x14ac:dyDescent="0.15">
      <c r="A802" s="11">
        <v>1959</v>
      </c>
      <c r="B802" s="11" t="s">
        <v>53</v>
      </c>
      <c r="C802" s="11" t="s">
        <v>156</v>
      </c>
      <c r="D802" s="11">
        <v>1</v>
      </c>
      <c r="E802" s="11" t="s">
        <v>4</v>
      </c>
      <c r="F802" s="12">
        <v>20600</v>
      </c>
      <c r="G802" s="12">
        <v>20600</v>
      </c>
      <c r="H802" s="11" t="str">
        <f t="shared" si="28"/>
        <v>平成4年12月5日</v>
      </c>
      <c r="I802" s="22">
        <f t="shared" si="29"/>
        <v>33943</v>
      </c>
      <c r="J802" s="1" t="str">
        <f>"00740311"</f>
        <v>00740311</v>
      </c>
      <c r="K802" s="1" t="str">
        <f>"６７２　　　　　　　　　　　　　　　　　"</f>
        <v>６７２　　　　　　　　　　　　　　　　　</v>
      </c>
      <c r="L802" s="1"/>
    </row>
    <row r="803" spans="1:12" ht="18" customHeight="1" x14ac:dyDescent="0.15">
      <c r="A803" s="11">
        <v>1960</v>
      </c>
      <c r="B803" s="11" t="s">
        <v>53</v>
      </c>
      <c r="C803" s="11" t="s">
        <v>156</v>
      </c>
      <c r="D803" s="11">
        <v>1</v>
      </c>
      <c r="E803" s="11" t="s">
        <v>4</v>
      </c>
      <c r="F803" s="12">
        <v>20600</v>
      </c>
      <c r="G803" s="12">
        <v>20600</v>
      </c>
      <c r="H803" s="11" t="str">
        <f t="shared" si="28"/>
        <v>平成4年12月5日</v>
      </c>
      <c r="I803" s="22">
        <f t="shared" si="29"/>
        <v>33943</v>
      </c>
      <c r="J803" s="1" t="str">
        <f>"00740313"</f>
        <v>00740313</v>
      </c>
      <c r="K803" s="1" t="str">
        <f>"６７３　　　　　　　　　　　　　　　　　"</f>
        <v>６７３　　　　　　　　　　　　　　　　　</v>
      </c>
      <c r="L803" s="1"/>
    </row>
    <row r="804" spans="1:12" ht="18" customHeight="1" x14ac:dyDescent="0.15">
      <c r="A804" s="11">
        <v>1961</v>
      </c>
      <c r="B804" s="11" t="s">
        <v>53</v>
      </c>
      <c r="C804" s="11" t="s">
        <v>156</v>
      </c>
      <c r="D804" s="11">
        <v>1</v>
      </c>
      <c r="E804" s="11" t="s">
        <v>4</v>
      </c>
      <c r="F804" s="12">
        <v>20600</v>
      </c>
      <c r="G804" s="12">
        <v>20600</v>
      </c>
      <c r="H804" s="11" t="str">
        <f t="shared" si="28"/>
        <v>平成4年12月5日</v>
      </c>
      <c r="I804" s="22">
        <f t="shared" si="29"/>
        <v>33943</v>
      </c>
      <c r="J804" s="1" t="str">
        <f>"00740315"</f>
        <v>00740315</v>
      </c>
      <c r="K804" s="1" t="str">
        <f>"６７５　　　　　　　　　　　　　　　　　"</f>
        <v>６７５　　　　　　　　　　　　　　　　　</v>
      </c>
      <c r="L804" s="1"/>
    </row>
    <row r="805" spans="1:12" ht="18" customHeight="1" x14ac:dyDescent="0.15">
      <c r="A805" s="11">
        <v>1962</v>
      </c>
      <c r="B805" s="11" t="s">
        <v>53</v>
      </c>
      <c r="C805" s="11" t="s">
        <v>156</v>
      </c>
      <c r="D805" s="11">
        <v>1</v>
      </c>
      <c r="E805" s="11" t="s">
        <v>4</v>
      </c>
      <c r="F805" s="12">
        <v>20600</v>
      </c>
      <c r="G805" s="12">
        <v>20600</v>
      </c>
      <c r="H805" s="11" t="str">
        <f t="shared" si="28"/>
        <v>平成4年12月5日</v>
      </c>
      <c r="I805" s="22">
        <f t="shared" si="29"/>
        <v>33943</v>
      </c>
      <c r="J805" s="1" t="str">
        <f>"00740317"</f>
        <v>00740317</v>
      </c>
      <c r="K805" s="1" t="str">
        <f>"６７６　　　　　　　　　　　　　　　　　"</f>
        <v>６７６　　　　　　　　　　　　　　　　　</v>
      </c>
      <c r="L805" s="1"/>
    </row>
    <row r="806" spans="1:12" ht="18" customHeight="1" x14ac:dyDescent="0.15">
      <c r="A806" s="11">
        <v>1963</v>
      </c>
      <c r="B806" s="11" t="s">
        <v>53</v>
      </c>
      <c r="C806" s="11" t="s">
        <v>156</v>
      </c>
      <c r="D806" s="11">
        <v>1</v>
      </c>
      <c r="E806" s="11" t="s">
        <v>4</v>
      </c>
      <c r="F806" s="12">
        <v>20600</v>
      </c>
      <c r="G806" s="12">
        <v>20600</v>
      </c>
      <c r="H806" s="11" t="str">
        <f t="shared" si="28"/>
        <v>平成4年12月5日</v>
      </c>
      <c r="I806" s="22">
        <f t="shared" si="29"/>
        <v>33943</v>
      </c>
      <c r="J806" s="1" t="str">
        <f>"00740319"</f>
        <v>00740319</v>
      </c>
      <c r="K806" s="1" t="str">
        <f>"６７７　　　　　　　　　　　　　　　　　"</f>
        <v>６７７　　　　　　　　　　　　　　　　　</v>
      </c>
      <c r="L806" s="1"/>
    </row>
    <row r="807" spans="1:12" ht="18" customHeight="1" x14ac:dyDescent="0.15">
      <c r="A807" s="11">
        <v>1964</v>
      </c>
      <c r="B807" s="11" t="s">
        <v>53</v>
      </c>
      <c r="C807" s="11" t="s">
        <v>156</v>
      </c>
      <c r="D807" s="11">
        <v>1</v>
      </c>
      <c r="E807" s="11" t="s">
        <v>4</v>
      </c>
      <c r="F807" s="12">
        <v>20600</v>
      </c>
      <c r="G807" s="12">
        <v>20600</v>
      </c>
      <c r="H807" s="11" t="str">
        <f t="shared" si="28"/>
        <v>平成4年12月5日</v>
      </c>
      <c r="I807" s="22">
        <f t="shared" si="29"/>
        <v>33943</v>
      </c>
      <c r="J807" s="1" t="str">
        <f>"00740321"</f>
        <v>00740321</v>
      </c>
      <c r="K807" s="1" t="str">
        <f>"６７８　　　　　　　　　　　　　　　　　"</f>
        <v>６７８　　　　　　　　　　　　　　　　　</v>
      </c>
      <c r="L807" s="1"/>
    </row>
    <row r="808" spans="1:12" ht="18" customHeight="1" x14ac:dyDescent="0.15">
      <c r="A808" s="11">
        <v>1965</v>
      </c>
      <c r="B808" s="11" t="s">
        <v>53</v>
      </c>
      <c r="C808" s="11" t="s">
        <v>156</v>
      </c>
      <c r="D808" s="11">
        <v>1</v>
      </c>
      <c r="E808" s="11" t="s">
        <v>4</v>
      </c>
      <c r="F808" s="12">
        <v>20600</v>
      </c>
      <c r="G808" s="12">
        <v>20600</v>
      </c>
      <c r="H808" s="11" t="str">
        <f t="shared" si="28"/>
        <v>平成4年12月5日</v>
      </c>
      <c r="I808" s="22">
        <f t="shared" si="29"/>
        <v>33943</v>
      </c>
      <c r="J808" s="1" t="str">
        <f>"00740323"</f>
        <v>00740323</v>
      </c>
      <c r="K808" s="1" t="str">
        <f>"６７９　　　　　　　　　　　　　　　　　"</f>
        <v>６７９　　　　　　　　　　　　　　　　　</v>
      </c>
      <c r="L808" s="1"/>
    </row>
    <row r="809" spans="1:12" ht="18" customHeight="1" x14ac:dyDescent="0.15">
      <c r="A809" s="11">
        <v>1966</v>
      </c>
      <c r="B809" s="11" t="s">
        <v>53</v>
      </c>
      <c r="C809" s="11" t="s">
        <v>156</v>
      </c>
      <c r="D809" s="11">
        <v>1</v>
      </c>
      <c r="E809" s="11" t="s">
        <v>4</v>
      </c>
      <c r="F809" s="12">
        <v>20600</v>
      </c>
      <c r="G809" s="12">
        <v>20600</v>
      </c>
      <c r="H809" s="11" t="str">
        <f t="shared" si="28"/>
        <v>平成4年12月5日</v>
      </c>
      <c r="I809" s="22">
        <f t="shared" si="29"/>
        <v>33943</v>
      </c>
      <c r="J809" s="1" t="str">
        <f>"00740325"</f>
        <v>00740325</v>
      </c>
      <c r="K809" s="1" t="str">
        <f>"６８０　　　　　　　　　　　　　　　　　"</f>
        <v>６８０　　　　　　　　　　　　　　　　　</v>
      </c>
      <c r="L809" s="1"/>
    </row>
    <row r="810" spans="1:12" ht="18" customHeight="1" x14ac:dyDescent="0.15">
      <c r="A810" s="11">
        <v>1967</v>
      </c>
      <c r="B810" s="11" t="s">
        <v>53</v>
      </c>
      <c r="C810" s="11" t="s">
        <v>156</v>
      </c>
      <c r="D810" s="11">
        <v>1</v>
      </c>
      <c r="E810" s="11" t="s">
        <v>4</v>
      </c>
      <c r="F810" s="12">
        <v>20600</v>
      </c>
      <c r="G810" s="12">
        <v>20600</v>
      </c>
      <c r="H810" s="11" t="str">
        <f t="shared" si="28"/>
        <v>平成4年12月5日</v>
      </c>
      <c r="I810" s="22">
        <f t="shared" si="29"/>
        <v>33943</v>
      </c>
      <c r="J810" s="1" t="str">
        <f>"00740327"</f>
        <v>00740327</v>
      </c>
      <c r="K810" s="1" t="str">
        <f>"６８１　　　　　　　　　　　　　　　　　"</f>
        <v>６８１　　　　　　　　　　　　　　　　　</v>
      </c>
      <c r="L810" s="1"/>
    </row>
    <row r="811" spans="1:12" ht="18" customHeight="1" x14ac:dyDescent="0.15">
      <c r="A811" s="11">
        <v>1968</v>
      </c>
      <c r="B811" s="11" t="s">
        <v>53</v>
      </c>
      <c r="C811" s="11" t="s">
        <v>156</v>
      </c>
      <c r="D811" s="11">
        <v>1</v>
      </c>
      <c r="E811" s="11" t="s">
        <v>4</v>
      </c>
      <c r="F811" s="12">
        <v>20600</v>
      </c>
      <c r="G811" s="12">
        <v>20600</v>
      </c>
      <c r="H811" s="11" t="str">
        <f t="shared" si="28"/>
        <v>平成4年12月5日</v>
      </c>
      <c r="I811" s="22">
        <f t="shared" si="29"/>
        <v>33943</v>
      </c>
      <c r="J811" s="1" t="str">
        <f>"00740329"</f>
        <v>00740329</v>
      </c>
      <c r="K811" s="1" t="str">
        <f>"６８２　　　　　　　　　　　　　　　　　"</f>
        <v>６８２　　　　　　　　　　　　　　　　　</v>
      </c>
      <c r="L811" s="1"/>
    </row>
    <row r="812" spans="1:12" ht="18" customHeight="1" x14ac:dyDescent="0.15">
      <c r="A812" s="11">
        <v>1969</v>
      </c>
      <c r="B812" s="11" t="s">
        <v>53</v>
      </c>
      <c r="C812" s="11" t="s">
        <v>156</v>
      </c>
      <c r="D812" s="11">
        <v>1</v>
      </c>
      <c r="E812" s="11" t="s">
        <v>4</v>
      </c>
      <c r="F812" s="12">
        <v>20600</v>
      </c>
      <c r="G812" s="12">
        <v>20600</v>
      </c>
      <c r="H812" s="11" t="str">
        <f t="shared" si="28"/>
        <v>平成4年12月5日</v>
      </c>
      <c r="I812" s="22">
        <f t="shared" si="29"/>
        <v>33943</v>
      </c>
      <c r="J812" s="1" t="str">
        <f>"00740331"</f>
        <v>00740331</v>
      </c>
      <c r="K812" s="1" t="str">
        <f>"６８３　　　　　　　　　　　　　　　　　"</f>
        <v>６８３　　　　　　　　　　　　　　　　　</v>
      </c>
      <c r="L812" s="1"/>
    </row>
    <row r="813" spans="1:12" ht="18" customHeight="1" x14ac:dyDescent="0.15">
      <c r="A813" s="11">
        <v>1970</v>
      </c>
      <c r="B813" s="11" t="s">
        <v>53</v>
      </c>
      <c r="C813" s="11" t="s">
        <v>156</v>
      </c>
      <c r="D813" s="11">
        <v>1</v>
      </c>
      <c r="E813" s="11" t="s">
        <v>4</v>
      </c>
      <c r="F813" s="12">
        <v>20600</v>
      </c>
      <c r="G813" s="12">
        <v>20600</v>
      </c>
      <c r="H813" s="11" t="str">
        <f t="shared" si="28"/>
        <v>平成4年12月5日</v>
      </c>
      <c r="I813" s="22">
        <f t="shared" si="29"/>
        <v>33943</v>
      </c>
      <c r="J813" s="1" t="str">
        <f>"00740333"</f>
        <v>00740333</v>
      </c>
      <c r="K813" s="1" t="str">
        <f>"６８４　　　　　　　　　　　　　　　　　"</f>
        <v>６８４　　　　　　　　　　　　　　　　　</v>
      </c>
      <c r="L813" s="1"/>
    </row>
    <row r="814" spans="1:12" ht="18" customHeight="1" x14ac:dyDescent="0.15">
      <c r="A814" s="11">
        <v>1971</v>
      </c>
      <c r="B814" s="11" t="s">
        <v>53</v>
      </c>
      <c r="C814" s="11" t="s">
        <v>156</v>
      </c>
      <c r="D814" s="11">
        <v>1</v>
      </c>
      <c r="E814" s="11" t="s">
        <v>4</v>
      </c>
      <c r="F814" s="12">
        <v>20600</v>
      </c>
      <c r="G814" s="12">
        <v>20600</v>
      </c>
      <c r="H814" s="11" t="str">
        <f t="shared" ref="H814:H877" si="30">"平成4年12月5日"</f>
        <v>平成4年12月5日</v>
      </c>
      <c r="I814" s="22">
        <f t="shared" si="29"/>
        <v>33943</v>
      </c>
      <c r="J814" s="1" t="str">
        <f>"00740335"</f>
        <v>00740335</v>
      </c>
      <c r="K814" s="1" t="str">
        <f>"６８５　　　　　　　　　　　　　　　　　"</f>
        <v>６８５　　　　　　　　　　　　　　　　　</v>
      </c>
      <c r="L814" s="1"/>
    </row>
    <row r="815" spans="1:12" ht="18" customHeight="1" x14ac:dyDescent="0.15">
      <c r="A815" s="11">
        <v>1972</v>
      </c>
      <c r="B815" s="11" t="s">
        <v>53</v>
      </c>
      <c r="C815" s="11" t="s">
        <v>156</v>
      </c>
      <c r="D815" s="11">
        <v>1</v>
      </c>
      <c r="E815" s="11" t="s">
        <v>4</v>
      </c>
      <c r="F815" s="12">
        <v>20600</v>
      </c>
      <c r="G815" s="12">
        <v>20600</v>
      </c>
      <c r="H815" s="11" t="str">
        <f t="shared" si="30"/>
        <v>平成4年12月5日</v>
      </c>
      <c r="I815" s="22">
        <f t="shared" si="29"/>
        <v>33943</v>
      </c>
      <c r="J815" s="1" t="str">
        <f>"00740337"</f>
        <v>00740337</v>
      </c>
      <c r="K815" s="1" t="str">
        <f>"６８６　　　　　　　　　　　　　　　　　"</f>
        <v>６８６　　　　　　　　　　　　　　　　　</v>
      </c>
      <c r="L815" s="1"/>
    </row>
    <row r="816" spans="1:12" ht="18" customHeight="1" x14ac:dyDescent="0.15">
      <c r="A816" s="11">
        <v>1973</v>
      </c>
      <c r="B816" s="11" t="s">
        <v>53</v>
      </c>
      <c r="C816" s="11" t="s">
        <v>156</v>
      </c>
      <c r="D816" s="11">
        <v>1</v>
      </c>
      <c r="E816" s="11" t="s">
        <v>4</v>
      </c>
      <c r="F816" s="12">
        <v>20600</v>
      </c>
      <c r="G816" s="12">
        <v>20600</v>
      </c>
      <c r="H816" s="11" t="str">
        <f t="shared" si="30"/>
        <v>平成4年12月5日</v>
      </c>
      <c r="I816" s="22">
        <f t="shared" si="29"/>
        <v>33943</v>
      </c>
      <c r="J816" s="1" t="str">
        <f>"00740339"</f>
        <v>00740339</v>
      </c>
      <c r="K816" s="1" t="str">
        <f>"６８７　　　　　　　　　　　　　　　　　"</f>
        <v>６８７　　　　　　　　　　　　　　　　　</v>
      </c>
      <c r="L816" s="1"/>
    </row>
    <row r="817" spans="1:12" ht="18" customHeight="1" x14ac:dyDescent="0.15">
      <c r="A817" s="11">
        <v>1974</v>
      </c>
      <c r="B817" s="11" t="s">
        <v>53</v>
      </c>
      <c r="C817" s="11" t="s">
        <v>156</v>
      </c>
      <c r="D817" s="11">
        <v>1</v>
      </c>
      <c r="E817" s="11" t="s">
        <v>4</v>
      </c>
      <c r="F817" s="12">
        <v>20600</v>
      </c>
      <c r="G817" s="12">
        <v>20600</v>
      </c>
      <c r="H817" s="11" t="str">
        <f t="shared" si="30"/>
        <v>平成4年12月5日</v>
      </c>
      <c r="I817" s="22">
        <f t="shared" si="29"/>
        <v>33943</v>
      </c>
      <c r="J817" s="1" t="str">
        <f>"00740341"</f>
        <v>00740341</v>
      </c>
      <c r="K817" s="1" t="str">
        <f>"６８８　　　　　　　　　　　　　　　　　"</f>
        <v>６８８　　　　　　　　　　　　　　　　　</v>
      </c>
      <c r="L817" s="1"/>
    </row>
    <row r="818" spans="1:12" ht="18" customHeight="1" x14ac:dyDescent="0.15">
      <c r="A818" s="11">
        <v>1975</v>
      </c>
      <c r="B818" s="11" t="s">
        <v>53</v>
      </c>
      <c r="C818" s="11" t="s">
        <v>156</v>
      </c>
      <c r="D818" s="11">
        <v>1</v>
      </c>
      <c r="E818" s="11" t="s">
        <v>4</v>
      </c>
      <c r="F818" s="12">
        <v>20600</v>
      </c>
      <c r="G818" s="12">
        <v>20600</v>
      </c>
      <c r="H818" s="11" t="str">
        <f t="shared" si="30"/>
        <v>平成4年12月5日</v>
      </c>
      <c r="I818" s="22">
        <f t="shared" si="29"/>
        <v>33943</v>
      </c>
      <c r="J818" s="1" t="str">
        <f>"00740343"</f>
        <v>00740343</v>
      </c>
      <c r="K818" s="1" t="str">
        <f>"６８９　　　　　　　　　　　　　　　　　"</f>
        <v>６８９　　　　　　　　　　　　　　　　　</v>
      </c>
      <c r="L818" s="1"/>
    </row>
    <row r="819" spans="1:12" ht="18" customHeight="1" x14ac:dyDescent="0.15">
      <c r="A819" s="11">
        <v>1976</v>
      </c>
      <c r="B819" s="11" t="s">
        <v>53</v>
      </c>
      <c r="C819" s="11" t="s">
        <v>156</v>
      </c>
      <c r="D819" s="11">
        <v>1</v>
      </c>
      <c r="E819" s="11" t="s">
        <v>4</v>
      </c>
      <c r="F819" s="12">
        <v>20600</v>
      </c>
      <c r="G819" s="12">
        <v>20600</v>
      </c>
      <c r="H819" s="11" t="str">
        <f t="shared" si="30"/>
        <v>平成4年12月5日</v>
      </c>
      <c r="I819" s="22">
        <f t="shared" si="29"/>
        <v>33943</v>
      </c>
      <c r="J819" s="1" t="str">
        <f>"00740345"</f>
        <v>00740345</v>
      </c>
      <c r="K819" s="1" t="str">
        <f>"６９０　　　　　　　　　　　　　　　　　"</f>
        <v>６９０　　　　　　　　　　　　　　　　　</v>
      </c>
      <c r="L819" s="1"/>
    </row>
    <row r="820" spans="1:12" ht="18" customHeight="1" x14ac:dyDescent="0.15">
      <c r="A820" s="11">
        <v>1977</v>
      </c>
      <c r="B820" s="11" t="s">
        <v>53</v>
      </c>
      <c r="C820" s="11" t="s">
        <v>156</v>
      </c>
      <c r="D820" s="11">
        <v>1</v>
      </c>
      <c r="E820" s="11" t="s">
        <v>4</v>
      </c>
      <c r="F820" s="12">
        <v>20600</v>
      </c>
      <c r="G820" s="12">
        <v>20600</v>
      </c>
      <c r="H820" s="11" t="str">
        <f t="shared" si="30"/>
        <v>平成4年12月5日</v>
      </c>
      <c r="I820" s="22">
        <f t="shared" si="29"/>
        <v>33943</v>
      </c>
      <c r="J820" s="1" t="str">
        <f>"00740347"</f>
        <v>00740347</v>
      </c>
      <c r="K820" s="1" t="str">
        <f>"６９１　　　　　　　　　　　　　　　　　"</f>
        <v>６９１　　　　　　　　　　　　　　　　　</v>
      </c>
      <c r="L820" s="1"/>
    </row>
    <row r="821" spans="1:12" ht="18" customHeight="1" x14ac:dyDescent="0.15">
      <c r="A821" s="11">
        <v>1978</v>
      </c>
      <c r="B821" s="11" t="s">
        <v>53</v>
      </c>
      <c r="C821" s="11" t="s">
        <v>156</v>
      </c>
      <c r="D821" s="11">
        <v>1</v>
      </c>
      <c r="E821" s="11" t="s">
        <v>4</v>
      </c>
      <c r="F821" s="12">
        <v>20600</v>
      </c>
      <c r="G821" s="12">
        <v>20600</v>
      </c>
      <c r="H821" s="11" t="str">
        <f t="shared" si="30"/>
        <v>平成4年12月5日</v>
      </c>
      <c r="I821" s="22">
        <f t="shared" si="29"/>
        <v>33943</v>
      </c>
      <c r="J821" s="1" t="str">
        <f>"00740349"</f>
        <v>00740349</v>
      </c>
      <c r="K821" s="1" t="str">
        <f>"６９２　　　　　　　　　　　　　　　　　"</f>
        <v>６９２　　　　　　　　　　　　　　　　　</v>
      </c>
      <c r="L821" s="1"/>
    </row>
    <row r="822" spans="1:12" ht="18" customHeight="1" x14ac:dyDescent="0.15">
      <c r="A822" s="11">
        <v>1979</v>
      </c>
      <c r="B822" s="11" t="s">
        <v>53</v>
      </c>
      <c r="C822" s="11" t="s">
        <v>156</v>
      </c>
      <c r="D822" s="11">
        <v>1</v>
      </c>
      <c r="E822" s="11" t="s">
        <v>4</v>
      </c>
      <c r="F822" s="12">
        <v>20600</v>
      </c>
      <c r="G822" s="12">
        <v>20600</v>
      </c>
      <c r="H822" s="11" t="str">
        <f t="shared" si="30"/>
        <v>平成4年12月5日</v>
      </c>
      <c r="I822" s="22">
        <f t="shared" si="29"/>
        <v>33943</v>
      </c>
      <c r="J822" s="1" t="str">
        <f>"00740351"</f>
        <v>00740351</v>
      </c>
      <c r="K822" s="1" t="str">
        <f>"６９３　　　　　　　　　　　　　　　　　"</f>
        <v>６９３　　　　　　　　　　　　　　　　　</v>
      </c>
      <c r="L822" s="1"/>
    </row>
    <row r="823" spans="1:12" ht="18" customHeight="1" x14ac:dyDescent="0.15">
      <c r="A823" s="11">
        <v>1980</v>
      </c>
      <c r="B823" s="11" t="s">
        <v>53</v>
      </c>
      <c r="C823" s="11" t="s">
        <v>156</v>
      </c>
      <c r="D823" s="11">
        <v>1</v>
      </c>
      <c r="E823" s="11" t="s">
        <v>4</v>
      </c>
      <c r="F823" s="12">
        <v>20600</v>
      </c>
      <c r="G823" s="12">
        <v>20600</v>
      </c>
      <c r="H823" s="11" t="str">
        <f t="shared" si="30"/>
        <v>平成4年12月5日</v>
      </c>
      <c r="I823" s="22">
        <f t="shared" si="29"/>
        <v>33943</v>
      </c>
      <c r="J823" s="1" t="str">
        <f>"00740353"</f>
        <v>00740353</v>
      </c>
      <c r="K823" s="1" t="str">
        <f>"６９４　　　　　　　　　　　　　　　　　"</f>
        <v>６９４　　　　　　　　　　　　　　　　　</v>
      </c>
      <c r="L823" s="1"/>
    </row>
    <row r="824" spans="1:12" ht="18" customHeight="1" x14ac:dyDescent="0.15">
      <c r="A824" s="11">
        <v>1981</v>
      </c>
      <c r="B824" s="11" t="s">
        <v>53</v>
      </c>
      <c r="C824" s="11" t="s">
        <v>156</v>
      </c>
      <c r="D824" s="11">
        <v>1</v>
      </c>
      <c r="E824" s="11" t="s">
        <v>4</v>
      </c>
      <c r="F824" s="12">
        <v>20600</v>
      </c>
      <c r="G824" s="12">
        <v>20600</v>
      </c>
      <c r="H824" s="11" t="str">
        <f t="shared" si="30"/>
        <v>平成4年12月5日</v>
      </c>
      <c r="I824" s="22">
        <f t="shared" si="29"/>
        <v>33943</v>
      </c>
      <c r="J824" s="1" t="str">
        <f>"00740355"</f>
        <v>00740355</v>
      </c>
      <c r="K824" s="1" t="str">
        <f>"６９５　　　　　　　　　　　　　　　　　"</f>
        <v>６９５　　　　　　　　　　　　　　　　　</v>
      </c>
      <c r="L824" s="1"/>
    </row>
    <row r="825" spans="1:12" ht="18" customHeight="1" x14ac:dyDescent="0.15">
      <c r="A825" s="11">
        <v>1982</v>
      </c>
      <c r="B825" s="11" t="s">
        <v>53</v>
      </c>
      <c r="C825" s="11" t="s">
        <v>156</v>
      </c>
      <c r="D825" s="11">
        <v>1</v>
      </c>
      <c r="E825" s="11" t="s">
        <v>4</v>
      </c>
      <c r="F825" s="12">
        <v>20600</v>
      </c>
      <c r="G825" s="12">
        <v>20600</v>
      </c>
      <c r="H825" s="11" t="str">
        <f t="shared" si="30"/>
        <v>平成4年12月5日</v>
      </c>
      <c r="I825" s="22">
        <f t="shared" si="29"/>
        <v>33943</v>
      </c>
      <c r="J825" s="1" t="str">
        <f>"00740356"</f>
        <v>00740356</v>
      </c>
      <c r="K825" s="1" t="str">
        <f>"６９６　　　　　　　　　　　　　　　　　"</f>
        <v>６９６　　　　　　　　　　　　　　　　　</v>
      </c>
      <c r="L825" s="1"/>
    </row>
    <row r="826" spans="1:12" ht="18" customHeight="1" x14ac:dyDescent="0.15">
      <c r="A826" s="11">
        <v>1983</v>
      </c>
      <c r="B826" s="11" t="s">
        <v>53</v>
      </c>
      <c r="C826" s="11" t="s">
        <v>156</v>
      </c>
      <c r="D826" s="11">
        <v>1</v>
      </c>
      <c r="E826" s="11" t="s">
        <v>4</v>
      </c>
      <c r="F826" s="12">
        <v>20600</v>
      </c>
      <c r="G826" s="12">
        <v>20600</v>
      </c>
      <c r="H826" s="11" t="str">
        <f t="shared" si="30"/>
        <v>平成4年12月5日</v>
      </c>
      <c r="I826" s="22">
        <f t="shared" si="29"/>
        <v>33943</v>
      </c>
      <c r="J826" s="1" t="str">
        <f>"00740358"</f>
        <v>00740358</v>
      </c>
      <c r="K826" s="1" t="str">
        <f>"６９７　　　　　　　　　　　　　　　　　"</f>
        <v>６９７　　　　　　　　　　　　　　　　　</v>
      </c>
      <c r="L826" s="1"/>
    </row>
    <row r="827" spans="1:12" ht="18" customHeight="1" x14ac:dyDescent="0.15">
      <c r="A827" s="11">
        <v>1984</v>
      </c>
      <c r="B827" s="11" t="s">
        <v>53</v>
      </c>
      <c r="C827" s="11" t="s">
        <v>156</v>
      </c>
      <c r="D827" s="11">
        <v>1</v>
      </c>
      <c r="E827" s="11" t="s">
        <v>4</v>
      </c>
      <c r="F827" s="12">
        <v>20600</v>
      </c>
      <c r="G827" s="12">
        <v>20600</v>
      </c>
      <c r="H827" s="11" t="str">
        <f t="shared" si="30"/>
        <v>平成4年12月5日</v>
      </c>
      <c r="I827" s="22">
        <f t="shared" si="29"/>
        <v>33943</v>
      </c>
      <c r="J827" s="1" t="str">
        <f>"00740361"</f>
        <v>00740361</v>
      </c>
      <c r="K827" s="1" t="str">
        <f>"６９８　　　　　　　　　　　　　　　　　"</f>
        <v>６９８　　　　　　　　　　　　　　　　　</v>
      </c>
      <c r="L827" s="1"/>
    </row>
    <row r="828" spans="1:12" ht="18" customHeight="1" x14ac:dyDescent="0.15">
      <c r="A828" s="11">
        <v>1985</v>
      </c>
      <c r="B828" s="11" t="s">
        <v>53</v>
      </c>
      <c r="C828" s="11" t="s">
        <v>156</v>
      </c>
      <c r="D828" s="11">
        <v>1</v>
      </c>
      <c r="E828" s="11" t="s">
        <v>4</v>
      </c>
      <c r="F828" s="12">
        <v>20600</v>
      </c>
      <c r="G828" s="12">
        <v>20600</v>
      </c>
      <c r="H828" s="11" t="str">
        <f t="shared" si="30"/>
        <v>平成4年12月5日</v>
      </c>
      <c r="I828" s="22">
        <f t="shared" si="29"/>
        <v>33943</v>
      </c>
      <c r="J828" s="1" t="str">
        <f>"00740362"</f>
        <v>00740362</v>
      </c>
      <c r="K828" s="1" t="str">
        <f>"６９９　　　　　　　　　　　　　　　　　"</f>
        <v>６９９　　　　　　　　　　　　　　　　　</v>
      </c>
      <c r="L828" s="1"/>
    </row>
    <row r="829" spans="1:12" ht="18" customHeight="1" x14ac:dyDescent="0.15">
      <c r="A829" s="11">
        <v>1986</v>
      </c>
      <c r="B829" s="11" t="s">
        <v>53</v>
      </c>
      <c r="C829" s="11" t="s">
        <v>156</v>
      </c>
      <c r="D829" s="11">
        <v>1</v>
      </c>
      <c r="E829" s="11" t="s">
        <v>4</v>
      </c>
      <c r="F829" s="12">
        <v>20600</v>
      </c>
      <c r="G829" s="12">
        <v>20600</v>
      </c>
      <c r="H829" s="11" t="str">
        <f t="shared" si="30"/>
        <v>平成4年12月5日</v>
      </c>
      <c r="I829" s="22">
        <f t="shared" si="29"/>
        <v>33943</v>
      </c>
      <c r="J829" s="1" t="str">
        <f>"00740364"</f>
        <v>00740364</v>
      </c>
      <c r="K829" s="1" t="str">
        <f>"７００　　　　　　　　　　　　　　　　　"</f>
        <v>７００　　　　　　　　　　　　　　　　　</v>
      </c>
      <c r="L829" s="1"/>
    </row>
    <row r="830" spans="1:12" ht="18" customHeight="1" x14ac:dyDescent="0.15">
      <c r="A830" s="11">
        <v>1987</v>
      </c>
      <c r="B830" s="11" t="s">
        <v>53</v>
      </c>
      <c r="C830" s="11" t="s">
        <v>156</v>
      </c>
      <c r="D830" s="11">
        <v>1</v>
      </c>
      <c r="E830" s="11" t="s">
        <v>4</v>
      </c>
      <c r="F830" s="12">
        <v>20600</v>
      </c>
      <c r="G830" s="12">
        <v>20600</v>
      </c>
      <c r="H830" s="11" t="str">
        <f t="shared" si="30"/>
        <v>平成4年12月5日</v>
      </c>
      <c r="I830" s="22">
        <f t="shared" si="29"/>
        <v>33943</v>
      </c>
      <c r="J830" s="1" t="str">
        <f>"00740366"</f>
        <v>00740366</v>
      </c>
      <c r="K830" s="1" t="str">
        <f>"７０１　　　　　　　　　　　　　　　　　"</f>
        <v>７０１　　　　　　　　　　　　　　　　　</v>
      </c>
      <c r="L830" s="1"/>
    </row>
    <row r="831" spans="1:12" ht="18" customHeight="1" x14ac:dyDescent="0.15">
      <c r="A831" s="11">
        <v>1988</v>
      </c>
      <c r="B831" s="11" t="s">
        <v>53</v>
      </c>
      <c r="C831" s="11" t="s">
        <v>156</v>
      </c>
      <c r="D831" s="11">
        <v>1</v>
      </c>
      <c r="E831" s="11" t="s">
        <v>4</v>
      </c>
      <c r="F831" s="12">
        <v>20600</v>
      </c>
      <c r="G831" s="12">
        <v>20600</v>
      </c>
      <c r="H831" s="11" t="str">
        <f t="shared" si="30"/>
        <v>平成4年12月5日</v>
      </c>
      <c r="I831" s="22">
        <f t="shared" si="29"/>
        <v>33943</v>
      </c>
      <c r="J831" s="1" t="str">
        <f>"00740368"</f>
        <v>00740368</v>
      </c>
      <c r="K831" s="1" t="str">
        <f>"７０２　　　　　　　　　　　　　　　　　"</f>
        <v>７０２　　　　　　　　　　　　　　　　　</v>
      </c>
      <c r="L831" s="1"/>
    </row>
    <row r="832" spans="1:12" ht="18" customHeight="1" x14ac:dyDescent="0.15">
      <c r="A832" s="11">
        <v>1989</v>
      </c>
      <c r="B832" s="11" t="s">
        <v>53</v>
      </c>
      <c r="C832" s="11" t="s">
        <v>156</v>
      </c>
      <c r="D832" s="11">
        <v>1</v>
      </c>
      <c r="E832" s="11" t="s">
        <v>4</v>
      </c>
      <c r="F832" s="12">
        <v>20600</v>
      </c>
      <c r="G832" s="12">
        <v>20600</v>
      </c>
      <c r="H832" s="11" t="str">
        <f t="shared" si="30"/>
        <v>平成4年12月5日</v>
      </c>
      <c r="I832" s="22">
        <f t="shared" si="29"/>
        <v>33943</v>
      </c>
      <c r="J832" s="1" t="str">
        <f>"00740370"</f>
        <v>00740370</v>
      </c>
      <c r="K832" s="1" t="str">
        <f>"７０３　　　　　　　　　　　　　　　　　"</f>
        <v>７０３　　　　　　　　　　　　　　　　　</v>
      </c>
      <c r="L832" s="1"/>
    </row>
    <row r="833" spans="1:12" ht="18" customHeight="1" x14ac:dyDescent="0.15">
      <c r="A833" s="11">
        <v>1990</v>
      </c>
      <c r="B833" s="11" t="s">
        <v>53</v>
      </c>
      <c r="C833" s="11" t="s">
        <v>156</v>
      </c>
      <c r="D833" s="11">
        <v>1</v>
      </c>
      <c r="E833" s="11" t="s">
        <v>4</v>
      </c>
      <c r="F833" s="12">
        <v>20600</v>
      </c>
      <c r="G833" s="12">
        <v>20600</v>
      </c>
      <c r="H833" s="11" t="str">
        <f t="shared" si="30"/>
        <v>平成4年12月5日</v>
      </c>
      <c r="I833" s="22">
        <f t="shared" si="29"/>
        <v>33943</v>
      </c>
      <c r="J833" s="1" t="str">
        <f>"00740373"</f>
        <v>00740373</v>
      </c>
      <c r="K833" s="1" t="str">
        <f>"７０４　　　　　　　　　　　　　　　　　"</f>
        <v>７０４　　　　　　　　　　　　　　　　　</v>
      </c>
      <c r="L833" s="1"/>
    </row>
    <row r="834" spans="1:12" ht="18" customHeight="1" x14ac:dyDescent="0.15">
      <c r="A834" s="11">
        <v>1991</v>
      </c>
      <c r="B834" s="11" t="s">
        <v>53</v>
      </c>
      <c r="C834" s="11" t="s">
        <v>156</v>
      </c>
      <c r="D834" s="11">
        <v>1</v>
      </c>
      <c r="E834" s="11" t="s">
        <v>4</v>
      </c>
      <c r="F834" s="12">
        <v>20600</v>
      </c>
      <c r="G834" s="12">
        <v>20600</v>
      </c>
      <c r="H834" s="11" t="str">
        <f t="shared" si="30"/>
        <v>平成4年12月5日</v>
      </c>
      <c r="I834" s="22">
        <f t="shared" si="29"/>
        <v>33943</v>
      </c>
      <c r="J834" s="1" t="str">
        <f>"00740375"</f>
        <v>00740375</v>
      </c>
      <c r="K834" s="1" t="str">
        <f>"７０５　　　　　　　　　　　　　　　　　"</f>
        <v>７０５　　　　　　　　　　　　　　　　　</v>
      </c>
      <c r="L834" s="1"/>
    </row>
    <row r="835" spans="1:12" ht="18" customHeight="1" x14ac:dyDescent="0.15">
      <c r="A835" s="11">
        <v>1992</v>
      </c>
      <c r="B835" s="11" t="s">
        <v>53</v>
      </c>
      <c r="C835" s="11" t="s">
        <v>156</v>
      </c>
      <c r="D835" s="11">
        <v>1</v>
      </c>
      <c r="E835" s="11" t="s">
        <v>4</v>
      </c>
      <c r="F835" s="12">
        <v>20600</v>
      </c>
      <c r="G835" s="12">
        <v>20600</v>
      </c>
      <c r="H835" s="11" t="str">
        <f t="shared" si="30"/>
        <v>平成4年12月5日</v>
      </c>
      <c r="I835" s="22">
        <f t="shared" si="29"/>
        <v>33943</v>
      </c>
      <c r="J835" s="1" t="str">
        <f>"00740377"</f>
        <v>00740377</v>
      </c>
      <c r="K835" s="1" t="str">
        <f>"７０６　　　　　　　　　　　　　　　　　"</f>
        <v>７０６　　　　　　　　　　　　　　　　　</v>
      </c>
      <c r="L835" s="1"/>
    </row>
    <row r="836" spans="1:12" ht="18" customHeight="1" x14ac:dyDescent="0.15">
      <c r="A836" s="11">
        <v>1993</v>
      </c>
      <c r="B836" s="11" t="s">
        <v>53</v>
      </c>
      <c r="C836" s="11" t="s">
        <v>156</v>
      </c>
      <c r="D836" s="11">
        <v>1</v>
      </c>
      <c r="E836" s="11" t="s">
        <v>4</v>
      </c>
      <c r="F836" s="12">
        <v>20600</v>
      </c>
      <c r="G836" s="12">
        <v>20600</v>
      </c>
      <c r="H836" s="11" t="str">
        <f t="shared" si="30"/>
        <v>平成4年12月5日</v>
      </c>
      <c r="I836" s="22">
        <f t="shared" si="29"/>
        <v>33943</v>
      </c>
      <c r="J836" s="1" t="str">
        <f>"00740379"</f>
        <v>00740379</v>
      </c>
      <c r="K836" s="1" t="str">
        <f>"７０７　　　　　　　　　　　　　　　　　"</f>
        <v>７０７　　　　　　　　　　　　　　　　　</v>
      </c>
      <c r="L836" s="1"/>
    </row>
    <row r="837" spans="1:12" ht="18" customHeight="1" x14ac:dyDescent="0.15">
      <c r="A837" s="11">
        <v>1994</v>
      </c>
      <c r="B837" s="11" t="s">
        <v>53</v>
      </c>
      <c r="C837" s="11" t="s">
        <v>156</v>
      </c>
      <c r="D837" s="11">
        <v>1</v>
      </c>
      <c r="E837" s="11" t="s">
        <v>4</v>
      </c>
      <c r="F837" s="12">
        <v>20600</v>
      </c>
      <c r="G837" s="12">
        <v>20600</v>
      </c>
      <c r="H837" s="11" t="str">
        <f t="shared" si="30"/>
        <v>平成4年12月5日</v>
      </c>
      <c r="I837" s="22">
        <f t="shared" si="29"/>
        <v>33943</v>
      </c>
      <c r="J837" s="1" t="str">
        <f>"00740380"</f>
        <v>00740380</v>
      </c>
      <c r="K837" s="1" t="str">
        <f>"７０８　　　　　　　　　　　　　　　　　"</f>
        <v>７０８　　　　　　　　　　　　　　　　　</v>
      </c>
      <c r="L837" s="1"/>
    </row>
    <row r="838" spans="1:12" ht="18" customHeight="1" x14ac:dyDescent="0.15">
      <c r="A838" s="11">
        <v>1995</v>
      </c>
      <c r="B838" s="11" t="s">
        <v>53</v>
      </c>
      <c r="C838" s="11" t="s">
        <v>156</v>
      </c>
      <c r="D838" s="11">
        <v>1</v>
      </c>
      <c r="E838" s="11" t="s">
        <v>4</v>
      </c>
      <c r="F838" s="12">
        <v>20600</v>
      </c>
      <c r="G838" s="12">
        <v>20600</v>
      </c>
      <c r="H838" s="11" t="str">
        <f t="shared" si="30"/>
        <v>平成4年12月5日</v>
      </c>
      <c r="I838" s="22">
        <f t="shared" si="29"/>
        <v>33943</v>
      </c>
      <c r="J838" s="1" t="str">
        <f>"00740382"</f>
        <v>00740382</v>
      </c>
      <c r="K838" s="1" t="str">
        <f>"７０９　　　　　　　　　　　　　　　　　"</f>
        <v>７０９　　　　　　　　　　　　　　　　　</v>
      </c>
      <c r="L838" s="1"/>
    </row>
    <row r="839" spans="1:12" ht="18" customHeight="1" x14ac:dyDescent="0.15">
      <c r="A839" s="11">
        <v>1996</v>
      </c>
      <c r="B839" s="11" t="s">
        <v>53</v>
      </c>
      <c r="C839" s="11" t="s">
        <v>156</v>
      </c>
      <c r="D839" s="11">
        <v>1</v>
      </c>
      <c r="E839" s="11" t="s">
        <v>4</v>
      </c>
      <c r="F839" s="12">
        <v>20600</v>
      </c>
      <c r="G839" s="12">
        <v>20600</v>
      </c>
      <c r="H839" s="11" t="str">
        <f t="shared" si="30"/>
        <v>平成4年12月5日</v>
      </c>
      <c r="I839" s="22">
        <f t="shared" si="29"/>
        <v>33943</v>
      </c>
      <c r="J839" s="1" t="str">
        <f>"00740384"</f>
        <v>00740384</v>
      </c>
      <c r="K839" s="1" t="str">
        <f>"７１０　　　　　　　　　　　　　　　　　"</f>
        <v>７１０　　　　　　　　　　　　　　　　　</v>
      </c>
      <c r="L839" s="1"/>
    </row>
    <row r="840" spans="1:12" ht="18" customHeight="1" x14ac:dyDescent="0.15">
      <c r="A840" s="11">
        <v>1997</v>
      </c>
      <c r="B840" s="11" t="s">
        <v>53</v>
      </c>
      <c r="C840" s="11" t="s">
        <v>156</v>
      </c>
      <c r="D840" s="11">
        <v>1</v>
      </c>
      <c r="E840" s="11" t="s">
        <v>4</v>
      </c>
      <c r="F840" s="12">
        <v>20600</v>
      </c>
      <c r="G840" s="12">
        <v>20600</v>
      </c>
      <c r="H840" s="11" t="str">
        <f t="shared" si="30"/>
        <v>平成4年12月5日</v>
      </c>
      <c r="I840" s="22">
        <f t="shared" si="29"/>
        <v>33943</v>
      </c>
      <c r="J840" s="1" t="str">
        <f>"00740387"</f>
        <v>00740387</v>
      </c>
      <c r="K840" s="1" t="str">
        <f>"７１１　　　　　　　　　　　　　　　　　"</f>
        <v>７１１　　　　　　　　　　　　　　　　　</v>
      </c>
      <c r="L840" s="1"/>
    </row>
    <row r="841" spans="1:12" ht="18" customHeight="1" x14ac:dyDescent="0.15">
      <c r="A841" s="11">
        <v>1998</v>
      </c>
      <c r="B841" s="11" t="s">
        <v>53</v>
      </c>
      <c r="C841" s="11" t="s">
        <v>156</v>
      </c>
      <c r="D841" s="11">
        <v>1</v>
      </c>
      <c r="E841" s="11" t="s">
        <v>4</v>
      </c>
      <c r="F841" s="12">
        <v>20600</v>
      </c>
      <c r="G841" s="12">
        <v>20600</v>
      </c>
      <c r="H841" s="11" t="str">
        <f t="shared" si="30"/>
        <v>平成4年12月5日</v>
      </c>
      <c r="I841" s="22">
        <f t="shared" si="29"/>
        <v>33943</v>
      </c>
      <c r="J841" s="1" t="str">
        <f>"00740389"</f>
        <v>00740389</v>
      </c>
      <c r="K841" s="1" t="str">
        <f>"７１２　　　　　　　　　　　　　　　　　"</f>
        <v>７１２　　　　　　　　　　　　　　　　　</v>
      </c>
      <c r="L841" s="1"/>
    </row>
    <row r="842" spans="1:12" ht="18" customHeight="1" x14ac:dyDescent="0.15">
      <c r="A842" s="11">
        <v>1999</v>
      </c>
      <c r="B842" s="11" t="s">
        <v>53</v>
      </c>
      <c r="C842" s="11" t="s">
        <v>156</v>
      </c>
      <c r="D842" s="11">
        <v>1</v>
      </c>
      <c r="E842" s="11" t="s">
        <v>4</v>
      </c>
      <c r="F842" s="12">
        <v>20600</v>
      </c>
      <c r="G842" s="12">
        <v>20600</v>
      </c>
      <c r="H842" s="11" t="str">
        <f t="shared" si="30"/>
        <v>平成4年12月5日</v>
      </c>
      <c r="I842" s="22">
        <f t="shared" si="29"/>
        <v>33943</v>
      </c>
      <c r="J842" s="1" t="str">
        <f>"00740390"</f>
        <v>00740390</v>
      </c>
      <c r="K842" s="1" t="str">
        <f>"７１３　　　　　　　　　　　　　　　　　"</f>
        <v>７１３　　　　　　　　　　　　　　　　　</v>
      </c>
      <c r="L842" s="1"/>
    </row>
    <row r="843" spans="1:12" ht="18" customHeight="1" x14ac:dyDescent="0.15">
      <c r="A843" s="11">
        <v>2000</v>
      </c>
      <c r="B843" s="11" t="s">
        <v>53</v>
      </c>
      <c r="C843" s="11" t="s">
        <v>156</v>
      </c>
      <c r="D843" s="11">
        <v>1</v>
      </c>
      <c r="E843" s="11" t="s">
        <v>4</v>
      </c>
      <c r="F843" s="12">
        <v>20600</v>
      </c>
      <c r="G843" s="12">
        <v>20600</v>
      </c>
      <c r="H843" s="11" t="str">
        <f t="shared" si="30"/>
        <v>平成4年12月5日</v>
      </c>
      <c r="I843" s="22">
        <f t="shared" si="29"/>
        <v>33943</v>
      </c>
      <c r="J843" s="1" t="str">
        <f>"00740393"</f>
        <v>00740393</v>
      </c>
      <c r="K843" s="1" t="str">
        <f>"７１４　　　　　　　　　　　　　　　　　"</f>
        <v>７１４　　　　　　　　　　　　　　　　　</v>
      </c>
      <c r="L843" s="1"/>
    </row>
    <row r="844" spans="1:12" ht="18" customHeight="1" x14ac:dyDescent="0.15">
      <c r="A844" s="11">
        <v>2001</v>
      </c>
      <c r="B844" s="11" t="s">
        <v>53</v>
      </c>
      <c r="C844" s="11" t="s">
        <v>156</v>
      </c>
      <c r="D844" s="11">
        <v>1</v>
      </c>
      <c r="E844" s="11" t="s">
        <v>4</v>
      </c>
      <c r="F844" s="12">
        <v>20600</v>
      </c>
      <c r="G844" s="12">
        <v>20600</v>
      </c>
      <c r="H844" s="11" t="str">
        <f t="shared" si="30"/>
        <v>平成4年12月5日</v>
      </c>
      <c r="I844" s="22">
        <f t="shared" si="29"/>
        <v>33943</v>
      </c>
      <c r="J844" s="1" t="str">
        <f>"00740394"</f>
        <v>00740394</v>
      </c>
      <c r="K844" s="1" t="str">
        <f>"７１５　　　　　　　　　　　　　　　　　"</f>
        <v>７１５　　　　　　　　　　　　　　　　　</v>
      </c>
      <c r="L844" s="1"/>
    </row>
    <row r="845" spans="1:12" ht="18" customHeight="1" x14ac:dyDescent="0.15">
      <c r="A845" s="11">
        <v>2002</v>
      </c>
      <c r="B845" s="11" t="s">
        <v>53</v>
      </c>
      <c r="C845" s="11" t="s">
        <v>156</v>
      </c>
      <c r="D845" s="11">
        <v>1</v>
      </c>
      <c r="E845" s="11" t="s">
        <v>4</v>
      </c>
      <c r="F845" s="12">
        <v>20600</v>
      </c>
      <c r="G845" s="12">
        <v>20600</v>
      </c>
      <c r="H845" s="11" t="str">
        <f t="shared" si="30"/>
        <v>平成4年12月5日</v>
      </c>
      <c r="I845" s="22">
        <f t="shared" si="29"/>
        <v>33943</v>
      </c>
      <c r="J845" s="1" t="str">
        <f>"00740397"</f>
        <v>00740397</v>
      </c>
      <c r="K845" s="1" t="str">
        <f>"７１６　　　　　　　　　　　　　　　　　"</f>
        <v>７１６　　　　　　　　　　　　　　　　　</v>
      </c>
      <c r="L845" s="1"/>
    </row>
    <row r="846" spans="1:12" ht="18" customHeight="1" x14ac:dyDescent="0.15">
      <c r="A846" s="11">
        <v>2003</v>
      </c>
      <c r="B846" s="11" t="s">
        <v>53</v>
      </c>
      <c r="C846" s="11" t="s">
        <v>156</v>
      </c>
      <c r="D846" s="11">
        <v>1</v>
      </c>
      <c r="E846" s="11" t="s">
        <v>4</v>
      </c>
      <c r="F846" s="12">
        <v>20600</v>
      </c>
      <c r="G846" s="12">
        <v>20600</v>
      </c>
      <c r="H846" s="11" t="str">
        <f t="shared" si="30"/>
        <v>平成4年12月5日</v>
      </c>
      <c r="I846" s="22">
        <f t="shared" si="29"/>
        <v>33943</v>
      </c>
      <c r="J846" s="1" t="str">
        <f>"00740399"</f>
        <v>00740399</v>
      </c>
      <c r="K846" s="1" t="str">
        <f>"７１７　　　　　　　　　　　　　　　　　"</f>
        <v>７１７　　　　　　　　　　　　　　　　　</v>
      </c>
      <c r="L846" s="1"/>
    </row>
    <row r="847" spans="1:12" ht="18" customHeight="1" x14ac:dyDescent="0.15">
      <c r="A847" s="11">
        <v>2004</v>
      </c>
      <c r="B847" s="11" t="s">
        <v>53</v>
      </c>
      <c r="C847" s="11" t="s">
        <v>156</v>
      </c>
      <c r="D847" s="11">
        <v>1</v>
      </c>
      <c r="E847" s="11" t="s">
        <v>4</v>
      </c>
      <c r="F847" s="12">
        <v>20600</v>
      </c>
      <c r="G847" s="12">
        <v>20600</v>
      </c>
      <c r="H847" s="11" t="str">
        <f t="shared" si="30"/>
        <v>平成4年12月5日</v>
      </c>
      <c r="I847" s="22">
        <f t="shared" si="29"/>
        <v>33943</v>
      </c>
      <c r="J847" s="1" t="str">
        <f>"00740400"</f>
        <v>00740400</v>
      </c>
      <c r="K847" s="1" t="str">
        <f>"７１９　　　　　　　　　　　　　　　　　"</f>
        <v>７１９　　　　　　　　　　　　　　　　　</v>
      </c>
      <c r="L847" s="1"/>
    </row>
    <row r="848" spans="1:12" ht="18" customHeight="1" x14ac:dyDescent="0.15">
      <c r="A848" s="11">
        <v>2005</v>
      </c>
      <c r="B848" s="11" t="s">
        <v>53</v>
      </c>
      <c r="C848" s="11" t="s">
        <v>156</v>
      </c>
      <c r="D848" s="11">
        <v>1</v>
      </c>
      <c r="E848" s="11" t="s">
        <v>4</v>
      </c>
      <c r="F848" s="12">
        <v>20600</v>
      </c>
      <c r="G848" s="12">
        <v>20600</v>
      </c>
      <c r="H848" s="11" t="str">
        <f t="shared" si="30"/>
        <v>平成4年12月5日</v>
      </c>
      <c r="I848" s="22">
        <f t="shared" si="29"/>
        <v>33943</v>
      </c>
      <c r="J848" s="1" t="str">
        <f>"00740403"</f>
        <v>00740403</v>
      </c>
      <c r="K848" s="1" t="str">
        <f>"７２０　　　　　　　　　　　　　　　　　"</f>
        <v>７２０　　　　　　　　　　　　　　　　　</v>
      </c>
      <c r="L848" s="1"/>
    </row>
    <row r="849" spans="1:12" ht="18" customHeight="1" x14ac:dyDescent="0.15">
      <c r="A849" s="11">
        <v>2006</v>
      </c>
      <c r="B849" s="11" t="s">
        <v>53</v>
      </c>
      <c r="C849" s="11" t="s">
        <v>156</v>
      </c>
      <c r="D849" s="11">
        <v>1</v>
      </c>
      <c r="E849" s="11" t="s">
        <v>4</v>
      </c>
      <c r="F849" s="12">
        <v>20600</v>
      </c>
      <c r="G849" s="12">
        <v>20600</v>
      </c>
      <c r="H849" s="11" t="str">
        <f t="shared" si="30"/>
        <v>平成4年12月5日</v>
      </c>
      <c r="I849" s="22">
        <f t="shared" si="29"/>
        <v>33943</v>
      </c>
      <c r="J849" s="1" t="str">
        <f>"00740405"</f>
        <v>00740405</v>
      </c>
      <c r="K849" s="1" t="str">
        <f>"７２１　　　　　　　　　　　　　　　　　"</f>
        <v>７２１　　　　　　　　　　　　　　　　　</v>
      </c>
      <c r="L849" s="1"/>
    </row>
    <row r="850" spans="1:12" ht="18" customHeight="1" x14ac:dyDescent="0.15">
      <c r="A850" s="11">
        <v>2007</v>
      </c>
      <c r="B850" s="11" t="s">
        <v>53</v>
      </c>
      <c r="C850" s="11" t="s">
        <v>156</v>
      </c>
      <c r="D850" s="11">
        <v>1</v>
      </c>
      <c r="E850" s="11" t="s">
        <v>4</v>
      </c>
      <c r="F850" s="12">
        <v>20600</v>
      </c>
      <c r="G850" s="12">
        <v>20600</v>
      </c>
      <c r="H850" s="11" t="str">
        <f t="shared" si="30"/>
        <v>平成4年12月5日</v>
      </c>
      <c r="I850" s="22">
        <f t="shared" ref="I850:I913" si="31">DATEVALUE(H850)</f>
        <v>33943</v>
      </c>
      <c r="J850" s="1" t="str">
        <f>"00740406"</f>
        <v>00740406</v>
      </c>
      <c r="K850" s="1" t="str">
        <f>"７２２　　　　　　　　　　　　　　　　　"</f>
        <v>７２２　　　　　　　　　　　　　　　　　</v>
      </c>
      <c r="L850" s="1"/>
    </row>
    <row r="851" spans="1:12" ht="18" customHeight="1" x14ac:dyDescent="0.15">
      <c r="A851" s="11">
        <v>2008</v>
      </c>
      <c r="B851" s="11" t="s">
        <v>53</v>
      </c>
      <c r="C851" s="11" t="s">
        <v>156</v>
      </c>
      <c r="D851" s="11">
        <v>1</v>
      </c>
      <c r="E851" s="11" t="s">
        <v>4</v>
      </c>
      <c r="F851" s="12">
        <v>20600</v>
      </c>
      <c r="G851" s="12">
        <v>20600</v>
      </c>
      <c r="H851" s="11" t="str">
        <f t="shared" si="30"/>
        <v>平成4年12月5日</v>
      </c>
      <c r="I851" s="22">
        <f t="shared" si="31"/>
        <v>33943</v>
      </c>
      <c r="J851" s="1" t="str">
        <f>"00740408"</f>
        <v>00740408</v>
      </c>
      <c r="K851" s="1" t="str">
        <f>"７２３　　　　　　　　　　　　　　　　　"</f>
        <v>７２３　　　　　　　　　　　　　　　　　</v>
      </c>
      <c r="L851" s="1"/>
    </row>
    <row r="852" spans="1:12" ht="18" customHeight="1" x14ac:dyDescent="0.15">
      <c r="A852" s="11">
        <v>2009</v>
      </c>
      <c r="B852" s="11" t="s">
        <v>53</v>
      </c>
      <c r="C852" s="11" t="s">
        <v>156</v>
      </c>
      <c r="D852" s="11">
        <v>1</v>
      </c>
      <c r="E852" s="11" t="s">
        <v>4</v>
      </c>
      <c r="F852" s="12">
        <v>20600</v>
      </c>
      <c r="G852" s="12">
        <v>20600</v>
      </c>
      <c r="H852" s="11" t="str">
        <f t="shared" si="30"/>
        <v>平成4年12月5日</v>
      </c>
      <c r="I852" s="22">
        <f t="shared" si="31"/>
        <v>33943</v>
      </c>
      <c r="J852" s="1" t="str">
        <f>"00740411"</f>
        <v>00740411</v>
      </c>
      <c r="K852" s="1" t="str">
        <f>"７２４　　　　　　　　　　　　　　　　　"</f>
        <v>７２４　　　　　　　　　　　　　　　　　</v>
      </c>
      <c r="L852" s="1"/>
    </row>
    <row r="853" spans="1:12" ht="18" customHeight="1" x14ac:dyDescent="0.15">
      <c r="A853" s="11">
        <v>2010</v>
      </c>
      <c r="B853" s="11" t="s">
        <v>53</v>
      </c>
      <c r="C853" s="11" t="s">
        <v>156</v>
      </c>
      <c r="D853" s="11">
        <v>1</v>
      </c>
      <c r="E853" s="11" t="s">
        <v>4</v>
      </c>
      <c r="F853" s="12">
        <v>20600</v>
      </c>
      <c r="G853" s="12">
        <v>20600</v>
      </c>
      <c r="H853" s="11" t="str">
        <f t="shared" si="30"/>
        <v>平成4年12月5日</v>
      </c>
      <c r="I853" s="22">
        <f t="shared" si="31"/>
        <v>33943</v>
      </c>
      <c r="J853" s="1" t="str">
        <f>"00740412"</f>
        <v>00740412</v>
      </c>
      <c r="K853" s="1" t="str">
        <f>"７２５　　　　　　　　　　　　　　　　　"</f>
        <v>７２５　　　　　　　　　　　　　　　　　</v>
      </c>
      <c r="L853" s="1"/>
    </row>
    <row r="854" spans="1:12" ht="18" customHeight="1" x14ac:dyDescent="0.15">
      <c r="A854" s="11">
        <v>2011</v>
      </c>
      <c r="B854" s="11" t="s">
        <v>53</v>
      </c>
      <c r="C854" s="11" t="s">
        <v>156</v>
      </c>
      <c r="D854" s="11">
        <v>1</v>
      </c>
      <c r="E854" s="11" t="s">
        <v>4</v>
      </c>
      <c r="F854" s="12">
        <v>20600</v>
      </c>
      <c r="G854" s="12">
        <v>20600</v>
      </c>
      <c r="H854" s="11" t="str">
        <f t="shared" si="30"/>
        <v>平成4年12月5日</v>
      </c>
      <c r="I854" s="22">
        <f t="shared" si="31"/>
        <v>33943</v>
      </c>
      <c r="J854" s="1" t="str">
        <f>"00740414"</f>
        <v>00740414</v>
      </c>
      <c r="K854" s="1" t="str">
        <f>"７２６　　　　　　　　　　　　　　　　　"</f>
        <v>７２６　　　　　　　　　　　　　　　　　</v>
      </c>
      <c r="L854" s="1"/>
    </row>
    <row r="855" spans="1:12" ht="18" customHeight="1" x14ac:dyDescent="0.15">
      <c r="A855" s="11">
        <v>2012</v>
      </c>
      <c r="B855" s="11" t="s">
        <v>53</v>
      </c>
      <c r="C855" s="11" t="s">
        <v>156</v>
      </c>
      <c r="D855" s="11">
        <v>1</v>
      </c>
      <c r="E855" s="11" t="s">
        <v>4</v>
      </c>
      <c r="F855" s="12">
        <v>20600</v>
      </c>
      <c r="G855" s="12">
        <v>20600</v>
      </c>
      <c r="H855" s="11" t="str">
        <f t="shared" si="30"/>
        <v>平成4年12月5日</v>
      </c>
      <c r="I855" s="22">
        <f t="shared" si="31"/>
        <v>33943</v>
      </c>
      <c r="J855" s="1" t="str">
        <f>"00740417"</f>
        <v>00740417</v>
      </c>
      <c r="K855" s="1" t="str">
        <f>"７２７　　　　　　　　　　　　　　　　　"</f>
        <v>７２７　　　　　　　　　　　　　　　　　</v>
      </c>
      <c r="L855" s="1"/>
    </row>
    <row r="856" spans="1:12" ht="18" customHeight="1" x14ac:dyDescent="0.15">
      <c r="A856" s="11">
        <v>2013</v>
      </c>
      <c r="B856" s="11" t="s">
        <v>53</v>
      </c>
      <c r="C856" s="11" t="s">
        <v>156</v>
      </c>
      <c r="D856" s="11">
        <v>1</v>
      </c>
      <c r="E856" s="11" t="s">
        <v>4</v>
      </c>
      <c r="F856" s="12">
        <v>20600</v>
      </c>
      <c r="G856" s="12">
        <v>20600</v>
      </c>
      <c r="H856" s="11" t="str">
        <f t="shared" si="30"/>
        <v>平成4年12月5日</v>
      </c>
      <c r="I856" s="22">
        <f t="shared" si="31"/>
        <v>33943</v>
      </c>
      <c r="J856" s="1" t="str">
        <f>"00740419"</f>
        <v>00740419</v>
      </c>
      <c r="K856" s="1" t="str">
        <f>"７２８　　　　　　　　　　　　　　　　　"</f>
        <v>７２８　　　　　　　　　　　　　　　　　</v>
      </c>
      <c r="L856" s="1"/>
    </row>
    <row r="857" spans="1:12" ht="18" customHeight="1" x14ac:dyDescent="0.15">
      <c r="A857" s="11">
        <v>2014</v>
      </c>
      <c r="B857" s="11" t="s">
        <v>53</v>
      </c>
      <c r="C857" s="11" t="s">
        <v>156</v>
      </c>
      <c r="D857" s="11">
        <v>1</v>
      </c>
      <c r="E857" s="11" t="s">
        <v>4</v>
      </c>
      <c r="F857" s="12">
        <v>20600</v>
      </c>
      <c r="G857" s="12">
        <v>20600</v>
      </c>
      <c r="H857" s="11" t="str">
        <f t="shared" si="30"/>
        <v>平成4年12月5日</v>
      </c>
      <c r="I857" s="22">
        <f t="shared" si="31"/>
        <v>33943</v>
      </c>
      <c r="J857" s="1" t="str">
        <f>"00740421"</f>
        <v>00740421</v>
      </c>
      <c r="K857" s="1" t="str">
        <f>"７２９　　　　　　　　　　　　　　　　　"</f>
        <v>７２９　　　　　　　　　　　　　　　　　</v>
      </c>
      <c r="L857" s="1"/>
    </row>
    <row r="858" spans="1:12" ht="18" customHeight="1" x14ac:dyDescent="0.15">
      <c r="A858" s="11">
        <v>2015</v>
      </c>
      <c r="B858" s="11" t="s">
        <v>53</v>
      </c>
      <c r="C858" s="11" t="s">
        <v>156</v>
      </c>
      <c r="D858" s="11">
        <v>1</v>
      </c>
      <c r="E858" s="11" t="s">
        <v>4</v>
      </c>
      <c r="F858" s="12">
        <v>20600</v>
      </c>
      <c r="G858" s="12">
        <v>20600</v>
      </c>
      <c r="H858" s="11" t="str">
        <f t="shared" si="30"/>
        <v>平成4年12月5日</v>
      </c>
      <c r="I858" s="22">
        <f t="shared" si="31"/>
        <v>33943</v>
      </c>
      <c r="J858" s="1" t="str">
        <f>"00740423"</f>
        <v>00740423</v>
      </c>
      <c r="K858" s="1" t="str">
        <f>"７３０　　　　　　　　　　　　　　　　　"</f>
        <v>７３０　　　　　　　　　　　　　　　　　</v>
      </c>
      <c r="L858" s="1"/>
    </row>
    <row r="859" spans="1:12" ht="18" customHeight="1" x14ac:dyDescent="0.15">
      <c r="A859" s="11">
        <v>2016</v>
      </c>
      <c r="B859" s="11" t="s">
        <v>53</v>
      </c>
      <c r="C859" s="11" t="s">
        <v>156</v>
      </c>
      <c r="D859" s="11">
        <v>1</v>
      </c>
      <c r="E859" s="11" t="s">
        <v>4</v>
      </c>
      <c r="F859" s="12">
        <v>20600</v>
      </c>
      <c r="G859" s="12">
        <v>20600</v>
      </c>
      <c r="H859" s="11" t="str">
        <f t="shared" si="30"/>
        <v>平成4年12月5日</v>
      </c>
      <c r="I859" s="22">
        <f t="shared" si="31"/>
        <v>33943</v>
      </c>
      <c r="J859" s="1" t="str">
        <f>"00740425"</f>
        <v>00740425</v>
      </c>
      <c r="K859" s="1" t="str">
        <f>"７３１　　　　　　　　　　　　　　　　　"</f>
        <v>７３１　　　　　　　　　　　　　　　　　</v>
      </c>
      <c r="L859" s="1"/>
    </row>
    <row r="860" spans="1:12" ht="18" customHeight="1" x14ac:dyDescent="0.15">
      <c r="A860" s="11">
        <v>2017</v>
      </c>
      <c r="B860" s="11" t="s">
        <v>53</v>
      </c>
      <c r="C860" s="11" t="s">
        <v>156</v>
      </c>
      <c r="D860" s="11">
        <v>1</v>
      </c>
      <c r="E860" s="11" t="s">
        <v>4</v>
      </c>
      <c r="F860" s="12">
        <v>20600</v>
      </c>
      <c r="G860" s="12">
        <v>20600</v>
      </c>
      <c r="H860" s="11" t="str">
        <f t="shared" si="30"/>
        <v>平成4年12月5日</v>
      </c>
      <c r="I860" s="22">
        <f t="shared" si="31"/>
        <v>33943</v>
      </c>
      <c r="J860" s="1" t="str">
        <f>"00740426"</f>
        <v>00740426</v>
      </c>
      <c r="K860" s="1" t="str">
        <f>"７３２　　　　　　　　　　　　　　　　　"</f>
        <v>７３２　　　　　　　　　　　　　　　　　</v>
      </c>
      <c r="L860" s="1"/>
    </row>
    <row r="861" spans="1:12" ht="18" customHeight="1" x14ac:dyDescent="0.15">
      <c r="A861" s="11">
        <v>2018</v>
      </c>
      <c r="B861" s="11" t="s">
        <v>53</v>
      </c>
      <c r="C861" s="11" t="s">
        <v>156</v>
      </c>
      <c r="D861" s="11">
        <v>1</v>
      </c>
      <c r="E861" s="11" t="s">
        <v>4</v>
      </c>
      <c r="F861" s="12">
        <v>20600</v>
      </c>
      <c r="G861" s="12">
        <v>20600</v>
      </c>
      <c r="H861" s="11" t="str">
        <f t="shared" si="30"/>
        <v>平成4年12月5日</v>
      </c>
      <c r="I861" s="22">
        <f t="shared" si="31"/>
        <v>33943</v>
      </c>
      <c r="J861" s="1" t="str">
        <f>"00740429"</f>
        <v>00740429</v>
      </c>
      <c r="K861" s="1" t="str">
        <f>"７３３　　　　　　　　　　　　　　　　　"</f>
        <v>７３３　　　　　　　　　　　　　　　　　</v>
      </c>
      <c r="L861" s="1"/>
    </row>
    <row r="862" spans="1:12" ht="18" customHeight="1" x14ac:dyDescent="0.15">
      <c r="A862" s="11">
        <v>2019</v>
      </c>
      <c r="B862" s="11" t="s">
        <v>53</v>
      </c>
      <c r="C862" s="11" t="s">
        <v>156</v>
      </c>
      <c r="D862" s="11">
        <v>1</v>
      </c>
      <c r="E862" s="11" t="s">
        <v>4</v>
      </c>
      <c r="F862" s="12">
        <v>20600</v>
      </c>
      <c r="G862" s="12">
        <v>20600</v>
      </c>
      <c r="H862" s="11" t="str">
        <f t="shared" si="30"/>
        <v>平成4年12月5日</v>
      </c>
      <c r="I862" s="22">
        <f t="shared" si="31"/>
        <v>33943</v>
      </c>
      <c r="J862" s="1" t="str">
        <f>"00740431"</f>
        <v>00740431</v>
      </c>
      <c r="K862" s="1" t="str">
        <f>"７３４　　　　　　　　　　　　　　　　　"</f>
        <v>７３４　　　　　　　　　　　　　　　　　</v>
      </c>
      <c r="L862" s="1"/>
    </row>
    <row r="863" spans="1:12" ht="18" customHeight="1" x14ac:dyDescent="0.15">
      <c r="A863" s="11">
        <v>2020</v>
      </c>
      <c r="B863" s="11" t="s">
        <v>53</v>
      </c>
      <c r="C863" s="11" t="s">
        <v>156</v>
      </c>
      <c r="D863" s="11">
        <v>1</v>
      </c>
      <c r="E863" s="11" t="s">
        <v>4</v>
      </c>
      <c r="F863" s="12">
        <v>20600</v>
      </c>
      <c r="G863" s="12">
        <v>20600</v>
      </c>
      <c r="H863" s="11" t="str">
        <f t="shared" si="30"/>
        <v>平成4年12月5日</v>
      </c>
      <c r="I863" s="22">
        <f t="shared" si="31"/>
        <v>33943</v>
      </c>
      <c r="J863" s="1" t="str">
        <f>"00740433"</f>
        <v>00740433</v>
      </c>
      <c r="K863" s="1" t="str">
        <f>"７３５　　　　　　　　　　　　　　　　　"</f>
        <v>７３５　　　　　　　　　　　　　　　　　</v>
      </c>
      <c r="L863" s="1"/>
    </row>
    <row r="864" spans="1:12" ht="18" customHeight="1" x14ac:dyDescent="0.15">
      <c r="A864" s="11">
        <v>2021</v>
      </c>
      <c r="B864" s="11" t="s">
        <v>53</v>
      </c>
      <c r="C864" s="11" t="s">
        <v>156</v>
      </c>
      <c r="D864" s="11">
        <v>1</v>
      </c>
      <c r="E864" s="11" t="s">
        <v>4</v>
      </c>
      <c r="F864" s="12">
        <v>20600</v>
      </c>
      <c r="G864" s="12">
        <v>20600</v>
      </c>
      <c r="H864" s="11" t="str">
        <f t="shared" si="30"/>
        <v>平成4年12月5日</v>
      </c>
      <c r="I864" s="22">
        <f t="shared" si="31"/>
        <v>33943</v>
      </c>
      <c r="J864" s="1" t="str">
        <f>"00740435"</f>
        <v>00740435</v>
      </c>
      <c r="K864" s="1" t="str">
        <f>"７３６　　　　　　　　　　　　　　　　　"</f>
        <v>７３６　　　　　　　　　　　　　　　　　</v>
      </c>
      <c r="L864" s="1"/>
    </row>
    <row r="865" spans="1:12" ht="18" customHeight="1" x14ac:dyDescent="0.15">
      <c r="A865" s="11">
        <v>2022</v>
      </c>
      <c r="B865" s="11" t="s">
        <v>53</v>
      </c>
      <c r="C865" s="11" t="s">
        <v>156</v>
      </c>
      <c r="D865" s="11">
        <v>1</v>
      </c>
      <c r="E865" s="11" t="s">
        <v>4</v>
      </c>
      <c r="F865" s="12">
        <v>20600</v>
      </c>
      <c r="G865" s="12">
        <v>20600</v>
      </c>
      <c r="H865" s="11" t="str">
        <f t="shared" si="30"/>
        <v>平成4年12月5日</v>
      </c>
      <c r="I865" s="22">
        <f t="shared" si="31"/>
        <v>33943</v>
      </c>
      <c r="J865" s="1" t="str">
        <f>"00740437"</f>
        <v>00740437</v>
      </c>
      <c r="K865" s="1" t="str">
        <f>"７３７　　　　　　　　　　　　　　　　　"</f>
        <v>７３７　　　　　　　　　　　　　　　　　</v>
      </c>
      <c r="L865" s="1"/>
    </row>
    <row r="866" spans="1:12" ht="18" customHeight="1" x14ac:dyDescent="0.15">
      <c r="A866" s="11">
        <v>2023</v>
      </c>
      <c r="B866" s="11" t="s">
        <v>53</v>
      </c>
      <c r="C866" s="11" t="s">
        <v>156</v>
      </c>
      <c r="D866" s="11">
        <v>1</v>
      </c>
      <c r="E866" s="11" t="s">
        <v>4</v>
      </c>
      <c r="F866" s="12">
        <v>20600</v>
      </c>
      <c r="G866" s="12">
        <v>20600</v>
      </c>
      <c r="H866" s="11" t="str">
        <f t="shared" si="30"/>
        <v>平成4年12月5日</v>
      </c>
      <c r="I866" s="22">
        <f t="shared" si="31"/>
        <v>33943</v>
      </c>
      <c r="J866" s="1" t="str">
        <f>"00740439"</f>
        <v>00740439</v>
      </c>
      <c r="K866" s="1" t="str">
        <f>"７３８　　　　　　　　　　　　　　　　　"</f>
        <v>７３８　　　　　　　　　　　　　　　　　</v>
      </c>
      <c r="L866" s="1"/>
    </row>
    <row r="867" spans="1:12" ht="18" customHeight="1" x14ac:dyDescent="0.15">
      <c r="A867" s="11">
        <v>2024</v>
      </c>
      <c r="B867" s="11" t="s">
        <v>53</v>
      </c>
      <c r="C867" s="11" t="s">
        <v>156</v>
      </c>
      <c r="D867" s="11">
        <v>1</v>
      </c>
      <c r="E867" s="11" t="s">
        <v>4</v>
      </c>
      <c r="F867" s="12">
        <v>20600</v>
      </c>
      <c r="G867" s="12">
        <v>20600</v>
      </c>
      <c r="H867" s="11" t="str">
        <f t="shared" si="30"/>
        <v>平成4年12月5日</v>
      </c>
      <c r="I867" s="22">
        <f t="shared" si="31"/>
        <v>33943</v>
      </c>
      <c r="J867" s="1" t="str">
        <f>"00740441"</f>
        <v>00740441</v>
      </c>
      <c r="K867" s="1" t="str">
        <f>"７３９　　　　　　　　　　　　　　　　　"</f>
        <v>７３９　　　　　　　　　　　　　　　　　</v>
      </c>
      <c r="L867" s="1"/>
    </row>
    <row r="868" spans="1:12" ht="18" customHeight="1" x14ac:dyDescent="0.15">
      <c r="A868" s="11">
        <v>2025</v>
      </c>
      <c r="B868" s="11" t="s">
        <v>53</v>
      </c>
      <c r="C868" s="11" t="s">
        <v>156</v>
      </c>
      <c r="D868" s="11">
        <v>1</v>
      </c>
      <c r="E868" s="11" t="s">
        <v>4</v>
      </c>
      <c r="F868" s="12">
        <v>20600</v>
      </c>
      <c r="G868" s="12">
        <v>20600</v>
      </c>
      <c r="H868" s="11" t="str">
        <f t="shared" si="30"/>
        <v>平成4年12月5日</v>
      </c>
      <c r="I868" s="22">
        <f t="shared" si="31"/>
        <v>33943</v>
      </c>
      <c r="J868" s="1" t="str">
        <f>"00740443"</f>
        <v>00740443</v>
      </c>
      <c r="K868" s="1" t="str">
        <f>"７４０　　　　　　　　　　　　　　　　　"</f>
        <v>７４０　　　　　　　　　　　　　　　　　</v>
      </c>
      <c r="L868" s="1"/>
    </row>
    <row r="869" spans="1:12" ht="18" customHeight="1" x14ac:dyDescent="0.15">
      <c r="A869" s="11">
        <v>2026</v>
      </c>
      <c r="B869" s="11" t="s">
        <v>53</v>
      </c>
      <c r="C869" s="11" t="s">
        <v>156</v>
      </c>
      <c r="D869" s="11">
        <v>1</v>
      </c>
      <c r="E869" s="11" t="s">
        <v>4</v>
      </c>
      <c r="F869" s="12">
        <v>20600</v>
      </c>
      <c r="G869" s="12">
        <v>20600</v>
      </c>
      <c r="H869" s="11" t="str">
        <f t="shared" si="30"/>
        <v>平成4年12月5日</v>
      </c>
      <c r="I869" s="22">
        <f t="shared" si="31"/>
        <v>33943</v>
      </c>
      <c r="J869" s="1" t="str">
        <f>"00740445"</f>
        <v>00740445</v>
      </c>
      <c r="K869" s="1" t="str">
        <f>"７４１　　　　　　　　　　　　　　　　　"</f>
        <v>７４１　　　　　　　　　　　　　　　　　</v>
      </c>
      <c r="L869" s="1"/>
    </row>
    <row r="870" spans="1:12" ht="18" customHeight="1" x14ac:dyDescent="0.15">
      <c r="A870" s="11">
        <v>2027</v>
      </c>
      <c r="B870" s="11" t="s">
        <v>53</v>
      </c>
      <c r="C870" s="11" t="s">
        <v>156</v>
      </c>
      <c r="D870" s="11">
        <v>1</v>
      </c>
      <c r="E870" s="11" t="s">
        <v>4</v>
      </c>
      <c r="F870" s="12">
        <v>20600</v>
      </c>
      <c r="G870" s="12">
        <v>20600</v>
      </c>
      <c r="H870" s="11" t="str">
        <f t="shared" si="30"/>
        <v>平成4年12月5日</v>
      </c>
      <c r="I870" s="22">
        <f t="shared" si="31"/>
        <v>33943</v>
      </c>
      <c r="J870" s="1" t="str">
        <f>"00740446"</f>
        <v>00740446</v>
      </c>
      <c r="K870" s="1" t="str">
        <f>"７４２　　　　　　　　　　　　　　　　　"</f>
        <v>７４２　　　　　　　　　　　　　　　　　</v>
      </c>
      <c r="L870" s="1"/>
    </row>
    <row r="871" spans="1:12" ht="18" customHeight="1" x14ac:dyDescent="0.15">
      <c r="A871" s="11">
        <v>2028</v>
      </c>
      <c r="B871" s="11" t="s">
        <v>53</v>
      </c>
      <c r="C871" s="11" t="s">
        <v>156</v>
      </c>
      <c r="D871" s="11">
        <v>1</v>
      </c>
      <c r="E871" s="11" t="s">
        <v>4</v>
      </c>
      <c r="F871" s="12">
        <v>20600</v>
      </c>
      <c r="G871" s="12">
        <v>20600</v>
      </c>
      <c r="H871" s="11" t="str">
        <f t="shared" si="30"/>
        <v>平成4年12月5日</v>
      </c>
      <c r="I871" s="22">
        <f t="shared" si="31"/>
        <v>33943</v>
      </c>
      <c r="J871" s="1" t="str">
        <f>"00740448"</f>
        <v>00740448</v>
      </c>
      <c r="K871" s="1" t="str">
        <f>"７４３　　　　　　　　　　　　　　　　　"</f>
        <v>７４３　　　　　　　　　　　　　　　　　</v>
      </c>
      <c r="L871" s="1"/>
    </row>
    <row r="872" spans="1:12" ht="18" customHeight="1" x14ac:dyDescent="0.15">
      <c r="A872" s="11">
        <v>2029</v>
      </c>
      <c r="B872" s="11" t="s">
        <v>53</v>
      </c>
      <c r="C872" s="11" t="s">
        <v>156</v>
      </c>
      <c r="D872" s="11">
        <v>1</v>
      </c>
      <c r="E872" s="11" t="s">
        <v>4</v>
      </c>
      <c r="F872" s="12">
        <v>20600</v>
      </c>
      <c r="G872" s="12">
        <v>20600</v>
      </c>
      <c r="H872" s="11" t="str">
        <f t="shared" si="30"/>
        <v>平成4年12月5日</v>
      </c>
      <c r="I872" s="22">
        <f t="shared" si="31"/>
        <v>33943</v>
      </c>
      <c r="J872" s="1" t="str">
        <f>"00740450"</f>
        <v>00740450</v>
      </c>
      <c r="K872" s="1" t="str">
        <f>"７４４　　　　　　　　　　　　　　　　　"</f>
        <v>７４４　　　　　　　　　　　　　　　　　</v>
      </c>
      <c r="L872" s="1"/>
    </row>
    <row r="873" spans="1:12" ht="18" customHeight="1" x14ac:dyDescent="0.15">
      <c r="A873" s="11">
        <v>2030</v>
      </c>
      <c r="B873" s="11" t="s">
        <v>53</v>
      </c>
      <c r="C873" s="11" t="s">
        <v>156</v>
      </c>
      <c r="D873" s="11">
        <v>1</v>
      </c>
      <c r="E873" s="11" t="s">
        <v>4</v>
      </c>
      <c r="F873" s="12">
        <v>20600</v>
      </c>
      <c r="G873" s="12">
        <v>20600</v>
      </c>
      <c r="H873" s="11" t="str">
        <f t="shared" si="30"/>
        <v>平成4年12月5日</v>
      </c>
      <c r="I873" s="22">
        <f t="shared" si="31"/>
        <v>33943</v>
      </c>
      <c r="J873" s="1" t="str">
        <f>"00740452"</f>
        <v>00740452</v>
      </c>
      <c r="K873" s="1" t="str">
        <f>"７４５　　　　　　　　　　　　　　　　　"</f>
        <v>７４５　　　　　　　　　　　　　　　　　</v>
      </c>
      <c r="L873" s="1"/>
    </row>
    <row r="874" spans="1:12" ht="18" customHeight="1" x14ac:dyDescent="0.15">
      <c r="A874" s="11">
        <v>2031</v>
      </c>
      <c r="B874" s="11" t="s">
        <v>53</v>
      </c>
      <c r="C874" s="11" t="s">
        <v>156</v>
      </c>
      <c r="D874" s="11">
        <v>1</v>
      </c>
      <c r="E874" s="11" t="s">
        <v>4</v>
      </c>
      <c r="F874" s="12">
        <v>20600</v>
      </c>
      <c r="G874" s="12">
        <v>20600</v>
      </c>
      <c r="H874" s="11" t="str">
        <f t="shared" si="30"/>
        <v>平成4年12月5日</v>
      </c>
      <c r="I874" s="22">
        <f t="shared" si="31"/>
        <v>33943</v>
      </c>
      <c r="J874" s="1" t="str">
        <f>"00740454"</f>
        <v>00740454</v>
      </c>
      <c r="K874" s="1" t="str">
        <f>"７４６　　　　　　　　　　　　　　　　　"</f>
        <v>７４６　　　　　　　　　　　　　　　　　</v>
      </c>
      <c r="L874" s="1"/>
    </row>
    <row r="875" spans="1:12" ht="18" customHeight="1" x14ac:dyDescent="0.15">
      <c r="A875" s="11">
        <v>2032</v>
      </c>
      <c r="B875" s="11" t="s">
        <v>53</v>
      </c>
      <c r="C875" s="11" t="s">
        <v>156</v>
      </c>
      <c r="D875" s="11">
        <v>1</v>
      </c>
      <c r="E875" s="11" t="s">
        <v>4</v>
      </c>
      <c r="F875" s="12">
        <v>20600</v>
      </c>
      <c r="G875" s="12">
        <v>20600</v>
      </c>
      <c r="H875" s="11" t="str">
        <f t="shared" si="30"/>
        <v>平成4年12月5日</v>
      </c>
      <c r="I875" s="22">
        <f t="shared" si="31"/>
        <v>33943</v>
      </c>
      <c r="J875" s="1" t="str">
        <f>"00740456"</f>
        <v>00740456</v>
      </c>
      <c r="K875" s="1" t="str">
        <f>"７４７　　　　　　　　　　　　　　　　　"</f>
        <v>７４７　　　　　　　　　　　　　　　　　</v>
      </c>
      <c r="L875" s="1"/>
    </row>
    <row r="876" spans="1:12" ht="18" customHeight="1" x14ac:dyDescent="0.15">
      <c r="A876" s="11">
        <v>2033</v>
      </c>
      <c r="B876" s="11" t="s">
        <v>53</v>
      </c>
      <c r="C876" s="11" t="s">
        <v>156</v>
      </c>
      <c r="D876" s="11">
        <v>1</v>
      </c>
      <c r="E876" s="11" t="s">
        <v>4</v>
      </c>
      <c r="F876" s="12">
        <v>20600</v>
      </c>
      <c r="G876" s="12">
        <v>20600</v>
      </c>
      <c r="H876" s="11" t="str">
        <f t="shared" si="30"/>
        <v>平成4年12月5日</v>
      </c>
      <c r="I876" s="22">
        <f t="shared" si="31"/>
        <v>33943</v>
      </c>
      <c r="J876" s="1" t="str">
        <f>"00740458"</f>
        <v>00740458</v>
      </c>
      <c r="K876" s="1" t="str">
        <f>"７４８　　　　　　　　　　　　　　　　　"</f>
        <v>７４８　　　　　　　　　　　　　　　　　</v>
      </c>
      <c r="L876" s="1"/>
    </row>
    <row r="877" spans="1:12" ht="18" customHeight="1" x14ac:dyDescent="0.15">
      <c r="A877" s="11">
        <v>2034</v>
      </c>
      <c r="B877" s="11" t="s">
        <v>53</v>
      </c>
      <c r="C877" s="11" t="s">
        <v>156</v>
      </c>
      <c r="D877" s="11">
        <v>1</v>
      </c>
      <c r="E877" s="11" t="s">
        <v>4</v>
      </c>
      <c r="F877" s="12">
        <v>20600</v>
      </c>
      <c r="G877" s="12">
        <v>20600</v>
      </c>
      <c r="H877" s="11" t="str">
        <f t="shared" si="30"/>
        <v>平成4年12月5日</v>
      </c>
      <c r="I877" s="22">
        <f t="shared" si="31"/>
        <v>33943</v>
      </c>
      <c r="J877" s="1" t="str">
        <f>"00740460"</f>
        <v>00740460</v>
      </c>
      <c r="K877" s="1" t="str">
        <f>"７４９　　　　　　　　　　　　　　　　　"</f>
        <v>７４９　　　　　　　　　　　　　　　　　</v>
      </c>
      <c r="L877" s="1"/>
    </row>
    <row r="878" spans="1:12" ht="18" customHeight="1" x14ac:dyDescent="0.15">
      <c r="A878" s="11">
        <v>2035</v>
      </c>
      <c r="B878" s="11" t="s">
        <v>53</v>
      </c>
      <c r="C878" s="11" t="s">
        <v>156</v>
      </c>
      <c r="D878" s="11">
        <v>1</v>
      </c>
      <c r="E878" s="11" t="s">
        <v>4</v>
      </c>
      <c r="F878" s="12">
        <v>20600</v>
      </c>
      <c r="G878" s="12">
        <v>20600</v>
      </c>
      <c r="H878" s="11" t="str">
        <f t="shared" ref="H878:H941" si="32">"平成4年12月5日"</f>
        <v>平成4年12月5日</v>
      </c>
      <c r="I878" s="22">
        <f t="shared" si="31"/>
        <v>33943</v>
      </c>
      <c r="J878" s="1" t="str">
        <f>"00740463"</f>
        <v>00740463</v>
      </c>
      <c r="K878" s="1" t="str">
        <f>"７５０　　　　　　　　　　　　　　　　　"</f>
        <v>７５０　　　　　　　　　　　　　　　　　</v>
      </c>
      <c r="L878" s="1"/>
    </row>
    <row r="879" spans="1:12" ht="18" customHeight="1" x14ac:dyDescent="0.15">
      <c r="A879" s="11">
        <v>2036</v>
      </c>
      <c r="B879" s="11" t="s">
        <v>53</v>
      </c>
      <c r="C879" s="11" t="s">
        <v>156</v>
      </c>
      <c r="D879" s="11">
        <v>1</v>
      </c>
      <c r="E879" s="11" t="s">
        <v>4</v>
      </c>
      <c r="F879" s="12">
        <v>20600</v>
      </c>
      <c r="G879" s="12">
        <v>20600</v>
      </c>
      <c r="H879" s="11" t="str">
        <f t="shared" si="32"/>
        <v>平成4年12月5日</v>
      </c>
      <c r="I879" s="22">
        <f t="shared" si="31"/>
        <v>33943</v>
      </c>
      <c r="J879" s="1" t="str">
        <f>"00740465"</f>
        <v>00740465</v>
      </c>
      <c r="K879" s="1" t="str">
        <f>"７５１　　　　　　　　　　　　　　　　　"</f>
        <v>７５１　　　　　　　　　　　　　　　　　</v>
      </c>
      <c r="L879" s="1"/>
    </row>
    <row r="880" spans="1:12" ht="18" customHeight="1" x14ac:dyDescent="0.15">
      <c r="A880" s="11">
        <v>2037</v>
      </c>
      <c r="B880" s="11" t="s">
        <v>53</v>
      </c>
      <c r="C880" s="11" t="s">
        <v>156</v>
      </c>
      <c r="D880" s="11">
        <v>1</v>
      </c>
      <c r="E880" s="11" t="s">
        <v>4</v>
      </c>
      <c r="F880" s="12">
        <v>20600</v>
      </c>
      <c r="G880" s="12">
        <v>20600</v>
      </c>
      <c r="H880" s="11" t="str">
        <f t="shared" si="32"/>
        <v>平成4年12月5日</v>
      </c>
      <c r="I880" s="22">
        <f t="shared" si="31"/>
        <v>33943</v>
      </c>
      <c r="J880" s="1" t="str">
        <f>"00740467"</f>
        <v>00740467</v>
      </c>
      <c r="K880" s="1" t="str">
        <f>"７５２　　　　　　　　　　　　　　　　　"</f>
        <v>７５２　　　　　　　　　　　　　　　　　</v>
      </c>
      <c r="L880" s="1"/>
    </row>
    <row r="881" spans="1:12" ht="18" customHeight="1" x14ac:dyDescent="0.15">
      <c r="A881" s="11">
        <v>2038</v>
      </c>
      <c r="B881" s="11" t="s">
        <v>53</v>
      </c>
      <c r="C881" s="11" t="s">
        <v>156</v>
      </c>
      <c r="D881" s="11">
        <v>1</v>
      </c>
      <c r="E881" s="11" t="s">
        <v>4</v>
      </c>
      <c r="F881" s="12">
        <v>20600</v>
      </c>
      <c r="G881" s="12">
        <v>20600</v>
      </c>
      <c r="H881" s="11" t="str">
        <f t="shared" si="32"/>
        <v>平成4年12月5日</v>
      </c>
      <c r="I881" s="22">
        <f t="shared" si="31"/>
        <v>33943</v>
      </c>
      <c r="J881" s="1" t="str">
        <f>"00740469"</f>
        <v>00740469</v>
      </c>
      <c r="K881" s="1" t="str">
        <f>"７５３　　　　　　　　　　　　　　　　　"</f>
        <v>７５３　　　　　　　　　　　　　　　　　</v>
      </c>
      <c r="L881" s="1"/>
    </row>
    <row r="882" spans="1:12" ht="18" customHeight="1" x14ac:dyDescent="0.15">
      <c r="A882" s="11">
        <v>2039</v>
      </c>
      <c r="B882" s="11" t="s">
        <v>53</v>
      </c>
      <c r="C882" s="11" t="s">
        <v>156</v>
      </c>
      <c r="D882" s="11">
        <v>1</v>
      </c>
      <c r="E882" s="11" t="s">
        <v>4</v>
      </c>
      <c r="F882" s="12">
        <v>20600</v>
      </c>
      <c r="G882" s="12">
        <v>20600</v>
      </c>
      <c r="H882" s="11" t="str">
        <f t="shared" si="32"/>
        <v>平成4年12月5日</v>
      </c>
      <c r="I882" s="22">
        <f t="shared" si="31"/>
        <v>33943</v>
      </c>
      <c r="J882" s="1" t="str">
        <f>"00740471"</f>
        <v>00740471</v>
      </c>
      <c r="K882" s="1" t="str">
        <f>"７５４　　　　　　　　　　　　　　　　　"</f>
        <v>７５４　　　　　　　　　　　　　　　　　</v>
      </c>
      <c r="L882" s="1"/>
    </row>
    <row r="883" spans="1:12" ht="18" customHeight="1" x14ac:dyDescent="0.15">
      <c r="A883" s="11">
        <v>2040</v>
      </c>
      <c r="B883" s="11" t="s">
        <v>53</v>
      </c>
      <c r="C883" s="11" t="s">
        <v>156</v>
      </c>
      <c r="D883" s="11">
        <v>1</v>
      </c>
      <c r="E883" s="11" t="s">
        <v>4</v>
      </c>
      <c r="F883" s="12">
        <v>20600</v>
      </c>
      <c r="G883" s="12">
        <v>20600</v>
      </c>
      <c r="H883" s="11" t="str">
        <f t="shared" si="32"/>
        <v>平成4年12月5日</v>
      </c>
      <c r="I883" s="22">
        <f t="shared" si="31"/>
        <v>33943</v>
      </c>
      <c r="J883" s="1" t="str">
        <f>"00740473"</f>
        <v>00740473</v>
      </c>
      <c r="K883" s="1" t="str">
        <f>"７５５　　　　　　　　　　　　　　　　　"</f>
        <v>７５５　　　　　　　　　　　　　　　　　</v>
      </c>
      <c r="L883" s="1"/>
    </row>
    <row r="884" spans="1:12" ht="18" customHeight="1" x14ac:dyDescent="0.15">
      <c r="A884" s="11">
        <v>2041</v>
      </c>
      <c r="B884" s="11" t="s">
        <v>53</v>
      </c>
      <c r="C884" s="11" t="s">
        <v>156</v>
      </c>
      <c r="D884" s="11">
        <v>1</v>
      </c>
      <c r="E884" s="11" t="s">
        <v>4</v>
      </c>
      <c r="F884" s="12">
        <v>20600</v>
      </c>
      <c r="G884" s="12">
        <v>20600</v>
      </c>
      <c r="H884" s="11" t="str">
        <f t="shared" si="32"/>
        <v>平成4年12月5日</v>
      </c>
      <c r="I884" s="22">
        <f t="shared" si="31"/>
        <v>33943</v>
      </c>
      <c r="J884" s="1" t="str">
        <f>"00740475"</f>
        <v>00740475</v>
      </c>
      <c r="K884" s="1" t="str">
        <f>"７５６　　　　　　　　　　　　　　　　　"</f>
        <v>７５６　　　　　　　　　　　　　　　　　</v>
      </c>
      <c r="L884" s="1"/>
    </row>
    <row r="885" spans="1:12" ht="18" customHeight="1" x14ac:dyDescent="0.15">
      <c r="A885" s="11">
        <v>2042</v>
      </c>
      <c r="B885" s="11" t="s">
        <v>53</v>
      </c>
      <c r="C885" s="11" t="s">
        <v>156</v>
      </c>
      <c r="D885" s="11">
        <v>1</v>
      </c>
      <c r="E885" s="11" t="s">
        <v>4</v>
      </c>
      <c r="F885" s="12">
        <v>20600</v>
      </c>
      <c r="G885" s="12">
        <v>20600</v>
      </c>
      <c r="H885" s="11" t="str">
        <f t="shared" si="32"/>
        <v>平成4年12月5日</v>
      </c>
      <c r="I885" s="22">
        <f t="shared" si="31"/>
        <v>33943</v>
      </c>
      <c r="J885" s="1" t="str">
        <f>"00740477"</f>
        <v>00740477</v>
      </c>
      <c r="K885" s="1" t="str">
        <f>"７５７　　　　　　　　　　　　　　　　　"</f>
        <v>７５７　　　　　　　　　　　　　　　　　</v>
      </c>
      <c r="L885" s="1"/>
    </row>
    <row r="886" spans="1:12" ht="18" customHeight="1" x14ac:dyDescent="0.15">
      <c r="A886" s="11">
        <v>2043</v>
      </c>
      <c r="B886" s="11" t="s">
        <v>53</v>
      </c>
      <c r="C886" s="11" t="s">
        <v>156</v>
      </c>
      <c r="D886" s="11">
        <v>1</v>
      </c>
      <c r="E886" s="11" t="s">
        <v>4</v>
      </c>
      <c r="F886" s="12">
        <v>20600</v>
      </c>
      <c r="G886" s="12">
        <v>20600</v>
      </c>
      <c r="H886" s="11" t="str">
        <f t="shared" si="32"/>
        <v>平成4年12月5日</v>
      </c>
      <c r="I886" s="22">
        <f t="shared" si="31"/>
        <v>33943</v>
      </c>
      <c r="J886" s="1" t="str">
        <f>"00740479"</f>
        <v>00740479</v>
      </c>
      <c r="K886" s="1" t="str">
        <f>"７５８　　　　　　　　　　　　　　　　　"</f>
        <v>７５８　　　　　　　　　　　　　　　　　</v>
      </c>
      <c r="L886" s="1"/>
    </row>
    <row r="887" spans="1:12" ht="18" customHeight="1" x14ac:dyDescent="0.15">
      <c r="A887" s="11">
        <v>2044</v>
      </c>
      <c r="B887" s="11" t="s">
        <v>53</v>
      </c>
      <c r="C887" s="11" t="s">
        <v>156</v>
      </c>
      <c r="D887" s="11">
        <v>1</v>
      </c>
      <c r="E887" s="11" t="s">
        <v>4</v>
      </c>
      <c r="F887" s="12">
        <v>20600</v>
      </c>
      <c r="G887" s="12">
        <v>20600</v>
      </c>
      <c r="H887" s="11" t="str">
        <f t="shared" si="32"/>
        <v>平成4年12月5日</v>
      </c>
      <c r="I887" s="22">
        <f t="shared" si="31"/>
        <v>33943</v>
      </c>
      <c r="J887" s="1" t="str">
        <f>"00740481"</f>
        <v>00740481</v>
      </c>
      <c r="K887" s="1" t="str">
        <f>"７５９　　　　　　　　　　　　　　　　　"</f>
        <v>７５９　　　　　　　　　　　　　　　　　</v>
      </c>
      <c r="L887" s="1"/>
    </row>
    <row r="888" spans="1:12" ht="18" customHeight="1" x14ac:dyDescent="0.15">
      <c r="A888" s="11">
        <v>2045</v>
      </c>
      <c r="B888" s="11" t="s">
        <v>53</v>
      </c>
      <c r="C888" s="11" t="s">
        <v>156</v>
      </c>
      <c r="D888" s="11">
        <v>1</v>
      </c>
      <c r="E888" s="11" t="s">
        <v>4</v>
      </c>
      <c r="F888" s="12">
        <v>20600</v>
      </c>
      <c r="G888" s="12">
        <v>20600</v>
      </c>
      <c r="H888" s="11" t="str">
        <f t="shared" si="32"/>
        <v>平成4年12月5日</v>
      </c>
      <c r="I888" s="22">
        <f t="shared" si="31"/>
        <v>33943</v>
      </c>
      <c r="J888" s="1" t="str">
        <f>"00740483"</f>
        <v>00740483</v>
      </c>
      <c r="K888" s="1" t="str">
        <f>"７６０　　　　　　　　　　　　　　　　　"</f>
        <v>７６０　　　　　　　　　　　　　　　　　</v>
      </c>
      <c r="L888" s="1"/>
    </row>
    <row r="889" spans="1:12" ht="18" customHeight="1" x14ac:dyDescent="0.15">
      <c r="A889" s="11">
        <v>2046</v>
      </c>
      <c r="B889" s="11" t="s">
        <v>53</v>
      </c>
      <c r="C889" s="11" t="s">
        <v>156</v>
      </c>
      <c r="D889" s="11">
        <v>1</v>
      </c>
      <c r="E889" s="11" t="s">
        <v>4</v>
      </c>
      <c r="F889" s="12">
        <v>20600</v>
      </c>
      <c r="G889" s="12">
        <v>20600</v>
      </c>
      <c r="H889" s="11" t="str">
        <f t="shared" si="32"/>
        <v>平成4年12月5日</v>
      </c>
      <c r="I889" s="22">
        <f t="shared" si="31"/>
        <v>33943</v>
      </c>
      <c r="J889" s="1" t="str">
        <f>"00740485"</f>
        <v>00740485</v>
      </c>
      <c r="K889" s="1" t="str">
        <f>"７６１　　　　　　　　　　　　　　　　　"</f>
        <v>７６１　　　　　　　　　　　　　　　　　</v>
      </c>
      <c r="L889" s="1"/>
    </row>
    <row r="890" spans="1:12" ht="18" customHeight="1" x14ac:dyDescent="0.15">
      <c r="A890" s="11">
        <v>2047</v>
      </c>
      <c r="B890" s="11" t="s">
        <v>53</v>
      </c>
      <c r="C890" s="11" t="s">
        <v>156</v>
      </c>
      <c r="D890" s="11">
        <v>1</v>
      </c>
      <c r="E890" s="11" t="s">
        <v>4</v>
      </c>
      <c r="F890" s="12">
        <v>20600</v>
      </c>
      <c r="G890" s="12">
        <v>20600</v>
      </c>
      <c r="H890" s="11" t="str">
        <f t="shared" si="32"/>
        <v>平成4年12月5日</v>
      </c>
      <c r="I890" s="22">
        <f t="shared" si="31"/>
        <v>33943</v>
      </c>
      <c r="J890" s="1" t="str">
        <f>"00740487"</f>
        <v>00740487</v>
      </c>
      <c r="K890" s="1" t="str">
        <f>"７６２　　　　　　　　　　　　　　　　　"</f>
        <v>７６２　　　　　　　　　　　　　　　　　</v>
      </c>
      <c r="L890" s="1"/>
    </row>
    <row r="891" spans="1:12" ht="18" customHeight="1" x14ac:dyDescent="0.15">
      <c r="A891" s="11">
        <v>2048</v>
      </c>
      <c r="B891" s="11" t="s">
        <v>53</v>
      </c>
      <c r="C891" s="11" t="s">
        <v>156</v>
      </c>
      <c r="D891" s="11">
        <v>1</v>
      </c>
      <c r="E891" s="11" t="s">
        <v>4</v>
      </c>
      <c r="F891" s="12">
        <v>20600</v>
      </c>
      <c r="G891" s="12">
        <v>20600</v>
      </c>
      <c r="H891" s="11" t="str">
        <f t="shared" si="32"/>
        <v>平成4年12月5日</v>
      </c>
      <c r="I891" s="22">
        <f t="shared" si="31"/>
        <v>33943</v>
      </c>
      <c r="J891" s="1" t="str">
        <f>"00740489"</f>
        <v>00740489</v>
      </c>
      <c r="K891" s="1" t="str">
        <f>"７６３　　　　　　　　　　　　　　　　　"</f>
        <v>７６３　　　　　　　　　　　　　　　　　</v>
      </c>
      <c r="L891" s="1"/>
    </row>
    <row r="892" spans="1:12" ht="18" customHeight="1" x14ac:dyDescent="0.15">
      <c r="A892" s="11">
        <v>2049</v>
      </c>
      <c r="B892" s="11" t="s">
        <v>53</v>
      </c>
      <c r="C892" s="11" t="s">
        <v>156</v>
      </c>
      <c r="D892" s="11">
        <v>1</v>
      </c>
      <c r="E892" s="11" t="s">
        <v>4</v>
      </c>
      <c r="F892" s="12">
        <v>20600</v>
      </c>
      <c r="G892" s="12">
        <v>20600</v>
      </c>
      <c r="H892" s="11" t="str">
        <f t="shared" si="32"/>
        <v>平成4年12月5日</v>
      </c>
      <c r="I892" s="22">
        <f t="shared" si="31"/>
        <v>33943</v>
      </c>
      <c r="J892" s="1" t="str">
        <f>"00740491"</f>
        <v>00740491</v>
      </c>
      <c r="K892" s="1" t="str">
        <f>"７６４　　　　　　　　　　　　　　　　　"</f>
        <v>７６４　　　　　　　　　　　　　　　　　</v>
      </c>
      <c r="L892" s="1"/>
    </row>
    <row r="893" spans="1:12" ht="18" customHeight="1" x14ac:dyDescent="0.15">
      <c r="A893" s="11">
        <v>2050</v>
      </c>
      <c r="B893" s="11" t="s">
        <v>53</v>
      </c>
      <c r="C893" s="11" t="s">
        <v>156</v>
      </c>
      <c r="D893" s="11">
        <v>1</v>
      </c>
      <c r="E893" s="11" t="s">
        <v>4</v>
      </c>
      <c r="F893" s="12">
        <v>20600</v>
      </c>
      <c r="G893" s="12">
        <v>20600</v>
      </c>
      <c r="H893" s="11" t="str">
        <f t="shared" si="32"/>
        <v>平成4年12月5日</v>
      </c>
      <c r="I893" s="22">
        <f t="shared" si="31"/>
        <v>33943</v>
      </c>
      <c r="J893" s="1" t="str">
        <f>"00740493"</f>
        <v>00740493</v>
      </c>
      <c r="K893" s="1" t="str">
        <f>"７６５　　　　　　　　　　　　　　　　　"</f>
        <v>７６５　　　　　　　　　　　　　　　　　</v>
      </c>
      <c r="L893" s="1"/>
    </row>
    <row r="894" spans="1:12" ht="18" customHeight="1" x14ac:dyDescent="0.15">
      <c r="A894" s="11">
        <v>2051</v>
      </c>
      <c r="B894" s="11" t="s">
        <v>53</v>
      </c>
      <c r="C894" s="11" t="s">
        <v>156</v>
      </c>
      <c r="D894" s="11">
        <v>1</v>
      </c>
      <c r="E894" s="11" t="s">
        <v>4</v>
      </c>
      <c r="F894" s="12">
        <v>20600</v>
      </c>
      <c r="G894" s="12">
        <v>20600</v>
      </c>
      <c r="H894" s="11" t="str">
        <f t="shared" si="32"/>
        <v>平成4年12月5日</v>
      </c>
      <c r="I894" s="22">
        <f t="shared" si="31"/>
        <v>33943</v>
      </c>
      <c r="J894" s="1" t="str">
        <f>"00740495"</f>
        <v>00740495</v>
      </c>
      <c r="K894" s="1" t="str">
        <f>"７６６　　　　　　　　　　　　　　　　　"</f>
        <v>７６６　　　　　　　　　　　　　　　　　</v>
      </c>
      <c r="L894" s="1"/>
    </row>
    <row r="895" spans="1:12" ht="18" customHeight="1" x14ac:dyDescent="0.15">
      <c r="A895" s="11">
        <v>2052</v>
      </c>
      <c r="B895" s="11" t="s">
        <v>53</v>
      </c>
      <c r="C895" s="11" t="s">
        <v>156</v>
      </c>
      <c r="D895" s="11">
        <v>1</v>
      </c>
      <c r="E895" s="11" t="s">
        <v>4</v>
      </c>
      <c r="F895" s="12">
        <v>20600</v>
      </c>
      <c r="G895" s="12">
        <v>20600</v>
      </c>
      <c r="H895" s="11" t="str">
        <f t="shared" si="32"/>
        <v>平成4年12月5日</v>
      </c>
      <c r="I895" s="22">
        <f t="shared" si="31"/>
        <v>33943</v>
      </c>
      <c r="J895" s="1" t="str">
        <f>"00740497"</f>
        <v>00740497</v>
      </c>
      <c r="K895" s="1" t="str">
        <f>"７６７　　　　　　　　　　　　　　　　　"</f>
        <v>７６７　　　　　　　　　　　　　　　　　</v>
      </c>
      <c r="L895" s="1"/>
    </row>
    <row r="896" spans="1:12" ht="18" customHeight="1" x14ac:dyDescent="0.15">
      <c r="A896" s="11">
        <v>2053</v>
      </c>
      <c r="B896" s="11" t="s">
        <v>53</v>
      </c>
      <c r="C896" s="11" t="s">
        <v>156</v>
      </c>
      <c r="D896" s="11">
        <v>1</v>
      </c>
      <c r="E896" s="11" t="s">
        <v>4</v>
      </c>
      <c r="F896" s="12">
        <v>20600</v>
      </c>
      <c r="G896" s="12">
        <v>20600</v>
      </c>
      <c r="H896" s="11" t="str">
        <f t="shared" si="32"/>
        <v>平成4年12月5日</v>
      </c>
      <c r="I896" s="22">
        <f t="shared" si="31"/>
        <v>33943</v>
      </c>
      <c r="J896" s="1" t="str">
        <f>"00740499"</f>
        <v>00740499</v>
      </c>
      <c r="K896" s="1" t="str">
        <f>"７６８　　　　　　　　　　　　　　　　　"</f>
        <v>７６８　　　　　　　　　　　　　　　　　</v>
      </c>
      <c r="L896" s="1"/>
    </row>
    <row r="897" spans="1:12" ht="18" customHeight="1" x14ac:dyDescent="0.15">
      <c r="A897" s="11">
        <v>2054</v>
      </c>
      <c r="B897" s="11" t="s">
        <v>53</v>
      </c>
      <c r="C897" s="11" t="s">
        <v>156</v>
      </c>
      <c r="D897" s="11">
        <v>1</v>
      </c>
      <c r="E897" s="11" t="s">
        <v>4</v>
      </c>
      <c r="F897" s="12">
        <v>20600</v>
      </c>
      <c r="G897" s="12">
        <v>20600</v>
      </c>
      <c r="H897" s="11" t="str">
        <f t="shared" si="32"/>
        <v>平成4年12月5日</v>
      </c>
      <c r="I897" s="22">
        <f t="shared" si="31"/>
        <v>33943</v>
      </c>
      <c r="J897" s="1" t="str">
        <f>"00740501"</f>
        <v>00740501</v>
      </c>
      <c r="K897" s="1" t="str">
        <f>"７６９　　　　　　　　　　　　　　　　　"</f>
        <v>７６９　　　　　　　　　　　　　　　　　</v>
      </c>
      <c r="L897" s="1"/>
    </row>
    <row r="898" spans="1:12" ht="18" customHeight="1" x14ac:dyDescent="0.15">
      <c r="A898" s="11">
        <v>2055</v>
      </c>
      <c r="B898" s="11" t="s">
        <v>53</v>
      </c>
      <c r="C898" s="11" t="s">
        <v>156</v>
      </c>
      <c r="D898" s="11">
        <v>1</v>
      </c>
      <c r="E898" s="11" t="s">
        <v>4</v>
      </c>
      <c r="F898" s="12">
        <v>20600</v>
      </c>
      <c r="G898" s="12">
        <v>20600</v>
      </c>
      <c r="H898" s="11" t="str">
        <f t="shared" si="32"/>
        <v>平成4年12月5日</v>
      </c>
      <c r="I898" s="22">
        <f t="shared" si="31"/>
        <v>33943</v>
      </c>
      <c r="J898" s="1" t="str">
        <f>"00740503"</f>
        <v>00740503</v>
      </c>
      <c r="K898" s="1" t="str">
        <f>"７７０　　　　　　　　　　　　　　　　　"</f>
        <v>７７０　　　　　　　　　　　　　　　　　</v>
      </c>
      <c r="L898" s="1"/>
    </row>
    <row r="899" spans="1:12" ht="18" customHeight="1" x14ac:dyDescent="0.15">
      <c r="A899" s="11">
        <v>2056</v>
      </c>
      <c r="B899" s="11" t="s">
        <v>53</v>
      </c>
      <c r="C899" s="11" t="s">
        <v>156</v>
      </c>
      <c r="D899" s="11">
        <v>1</v>
      </c>
      <c r="E899" s="11" t="s">
        <v>4</v>
      </c>
      <c r="F899" s="12">
        <v>20600</v>
      </c>
      <c r="G899" s="12">
        <v>20600</v>
      </c>
      <c r="H899" s="11" t="str">
        <f t="shared" si="32"/>
        <v>平成4年12月5日</v>
      </c>
      <c r="I899" s="22">
        <f t="shared" si="31"/>
        <v>33943</v>
      </c>
      <c r="J899" s="1" t="str">
        <f>"00740505"</f>
        <v>00740505</v>
      </c>
      <c r="K899" s="1" t="str">
        <f>"７７１　　　　　　　　　　　　　　　　　"</f>
        <v>７７１　　　　　　　　　　　　　　　　　</v>
      </c>
      <c r="L899" s="1"/>
    </row>
    <row r="900" spans="1:12" ht="18" customHeight="1" x14ac:dyDescent="0.15">
      <c r="A900" s="11">
        <v>2057</v>
      </c>
      <c r="B900" s="11" t="s">
        <v>53</v>
      </c>
      <c r="C900" s="11" t="s">
        <v>156</v>
      </c>
      <c r="D900" s="11">
        <v>1</v>
      </c>
      <c r="E900" s="11" t="s">
        <v>4</v>
      </c>
      <c r="F900" s="12">
        <v>20600</v>
      </c>
      <c r="G900" s="12">
        <v>20600</v>
      </c>
      <c r="H900" s="11" t="str">
        <f t="shared" si="32"/>
        <v>平成4年12月5日</v>
      </c>
      <c r="I900" s="22">
        <f t="shared" si="31"/>
        <v>33943</v>
      </c>
      <c r="J900" s="1" t="str">
        <f>"00740507"</f>
        <v>00740507</v>
      </c>
      <c r="K900" s="1" t="str">
        <f>"７７２　　　　　　　　　　　　　　　　　"</f>
        <v>７７２　　　　　　　　　　　　　　　　　</v>
      </c>
      <c r="L900" s="1"/>
    </row>
    <row r="901" spans="1:12" ht="18" customHeight="1" x14ac:dyDescent="0.15">
      <c r="A901" s="11">
        <v>2058</v>
      </c>
      <c r="B901" s="11" t="s">
        <v>53</v>
      </c>
      <c r="C901" s="11" t="s">
        <v>156</v>
      </c>
      <c r="D901" s="11">
        <v>1</v>
      </c>
      <c r="E901" s="11" t="s">
        <v>4</v>
      </c>
      <c r="F901" s="12">
        <v>20600</v>
      </c>
      <c r="G901" s="12">
        <v>20600</v>
      </c>
      <c r="H901" s="11" t="str">
        <f t="shared" si="32"/>
        <v>平成4年12月5日</v>
      </c>
      <c r="I901" s="22">
        <f t="shared" si="31"/>
        <v>33943</v>
      </c>
      <c r="J901" s="1" t="str">
        <f>"00740509"</f>
        <v>00740509</v>
      </c>
      <c r="K901" s="1" t="str">
        <f>"７７３　　　　　　　　　　　　　　　　　"</f>
        <v>７７３　　　　　　　　　　　　　　　　　</v>
      </c>
      <c r="L901" s="1"/>
    </row>
    <row r="902" spans="1:12" ht="18" customHeight="1" x14ac:dyDescent="0.15">
      <c r="A902" s="11">
        <v>2059</v>
      </c>
      <c r="B902" s="11" t="s">
        <v>53</v>
      </c>
      <c r="C902" s="11" t="s">
        <v>156</v>
      </c>
      <c r="D902" s="11">
        <v>1</v>
      </c>
      <c r="E902" s="11" t="s">
        <v>4</v>
      </c>
      <c r="F902" s="12">
        <v>20600</v>
      </c>
      <c r="G902" s="12">
        <v>20600</v>
      </c>
      <c r="H902" s="11" t="str">
        <f t="shared" si="32"/>
        <v>平成4年12月5日</v>
      </c>
      <c r="I902" s="22">
        <f t="shared" si="31"/>
        <v>33943</v>
      </c>
      <c r="J902" s="1" t="str">
        <f>"00740511"</f>
        <v>00740511</v>
      </c>
      <c r="K902" s="1" t="str">
        <f>"７７４　　　　　　　　　　　　　　　　　"</f>
        <v>７７４　　　　　　　　　　　　　　　　　</v>
      </c>
      <c r="L902" s="1"/>
    </row>
    <row r="903" spans="1:12" ht="18" customHeight="1" x14ac:dyDescent="0.15">
      <c r="A903" s="11">
        <v>2060</v>
      </c>
      <c r="B903" s="11" t="s">
        <v>53</v>
      </c>
      <c r="C903" s="11" t="s">
        <v>156</v>
      </c>
      <c r="D903" s="11">
        <v>1</v>
      </c>
      <c r="E903" s="11" t="s">
        <v>4</v>
      </c>
      <c r="F903" s="12">
        <v>20600</v>
      </c>
      <c r="G903" s="12">
        <v>20600</v>
      </c>
      <c r="H903" s="11" t="str">
        <f t="shared" si="32"/>
        <v>平成4年12月5日</v>
      </c>
      <c r="I903" s="22">
        <f t="shared" si="31"/>
        <v>33943</v>
      </c>
      <c r="J903" s="1" t="str">
        <f>"00740513"</f>
        <v>00740513</v>
      </c>
      <c r="K903" s="1" t="str">
        <f>"７７５　　　　　　　　　　　　　　　　　"</f>
        <v>７７５　　　　　　　　　　　　　　　　　</v>
      </c>
      <c r="L903" s="1"/>
    </row>
    <row r="904" spans="1:12" ht="18" customHeight="1" x14ac:dyDescent="0.15">
      <c r="A904" s="11">
        <v>2061</v>
      </c>
      <c r="B904" s="11" t="s">
        <v>53</v>
      </c>
      <c r="C904" s="11" t="s">
        <v>156</v>
      </c>
      <c r="D904" s="11">
        <v>1</v>
      </c>
      <c r="E904" s="11" t="s">
        <v>4</v>
      </c>
      <c r="F904" s="12">
        <v>20600</v>
      </c>
      <c r="G904" s="12">
        <v>20600</v>
      </c>
      <c r="H904" s="11" t="str">
        <f t="shared" si="32"/>
        <v>平成4年12月5日</v>
      </c>
      <c r="I904" s="22">
        <f t="shared" si="31"/>
        <v>33943</v>
      </c>
      <c r="J904" s="1" t="str">
        <f>"00740515"</f>
        <v>00740515</v>
      </c>
      <c r="K904" s="1" t="str">
        <f>"７７６　　　　　　　　　　　　　　　　　"</f>
        <v>７７６　　　　　　　　　　　　　　　　　</v>
      </c>
      <c r="L904" s="1"/>
    </row>
    <row r="905" spans="1:12" ht="18" customHeight="1" x14ac:dyDescent="0.15">
      <c r="A905" s="11">
        <v>2062</v>
      </c>
      <c r="B905" s="11" t="s">
        <v>53</v>
      </c>
      <c r="C905" s="11" t="s">
        <v>156</v>
      </c>
      <c r="D905" s="11">
        <v>1</v>
      </c>
      <c r="E905" s="11" t="s">
        <v>4</v>
      </c>
      <c r="F905" s="12">
        <v>20600</v>
      </c>
      <c r="G905" s="12">
        <v>20600</v>
      </c>
      <c r="H905" s="11" t="str">
        <f t="shared" si="32"/>
        <v>平成4年12月5日</v>
      </c>
      <c r="I905" s="22">
        <f t="shared" si="31"/>
        <v>33943</v>
      </c>
      <c r="J905" s="1" t="str">
        <f>"00740517"</f>
        <v>00740517</v>
      </c>
      <c r="K905" s="1" t="str">
        <f>"７７７　　　　　　　　　　　　　　　　　"</f>
        <v>７７７　　　　　　　　　　　　　　　　　</v>
      </c>
      <c r="L905" s="1"/>
    </row>
    <row r="906" spans="1:12" ht="18" customHeight="1" x14ac:dyDescent="0.15">
      <c r="A906" s="11">
        <v>2063</v>
      </c>
      <c r="B906" s="11" t="s">
        <v>53</v>
      </c>
      <c r="C906" s="11" t="s">
        <v>156</v>
      </c>
      <c r="D906" s="11">
        <v>1</v>
      </c>
      <c r="E906" s="11" t="s">
        <v>4</v>
      </c>
      <c r="F906" s="12">
        <v>20600</v>
      </c>
      <c r="G906" s="12">
        <v>20600</v>
      </c>
      <c r="H906" s="11" t="str">
        <f t="shared" si="32"/>
        <v>平成4年12月5日</v>
      </c>
      <c r="I906" s="22">
        <f t="shared" si="31"/>
        <v>33943</v>
      </c>
      <c r="J906" s="1" t="str">
        <f>"00740519"</f>
        <v>00740519</v>
      </c>
      <c r="K906" s="1" t="str">
        <f>"７７８　　　　　　　　　　　　　　　　　"</f>
        <v>７７８　　　　　　　　　　　　　　　　　</v>
      </c>
      <c r="L906" s="1"/>
    </row>
    <row r="907" spans="1:12" ht="18" customHeight="1" x14ac:dyDescent="0.15">
      <c r="A907" s="11">
        <v>2064</v>
      </c>
      <c r="B907" s="11" t="s">
        <v>53</v>
      </c>
      <c r="C907" s="11" t="s">
        <v>156</v>
      </c>
      <c r="D907" s="11">
        <v>1</v>
      </c>
      <c r="E907" s="11" t="s">
        <v>4</v>
      </c>
      <c r="F907" s="12">
        <v>20600</v>
      </c>
      <c r="G907" s="12">
        <v>20600</v>
      </c>
      <c r="H907" s="11" t="str">
        <f t="shared" si="32"/>
        <v>平成4年12月5日</v>
      </c>
      <c r="I907" s="22">
        <f t="shared" si="31"/>
        <v>33943</v>
      </c>
      <c r="J907" s="1" t="str">
        <f>"00740521"</f>
        <v>00740521</v>
      </c>
      <c r="K907" s="1" t="str">
        <f>"７７９　　　　　　　　　　　　　　　　　"</f>
        <v>７７９　　　　　　　　　　　　　　　　　</v>
      </c>
      <c r="L907" s="1"/>
    </row>
    <row r="908" spans="1:12" ht="18" customHeight="1" x14ac:dyDescent="0.15">
      <c r="A908" s="11">
        <v>2065</v>
      </c>
      <c r="B908" s="11" t="s">
        <v>53</v>
      </c>
      <c r="C908" s="11" t="s">
        <v>156</v>
      </c>
      <c r="D908" s="11">
        <v>1</v>
      </c>
      <c r="E908" s="11" t="s">
        <v>4</v>
      </c>
      <c r="F908" s="12">
        <v>20600</v>
      </c>
      <c r="G908" s="12">
        <v>20600</v>
      </c>
      <c r="H908" s="11" t="str">
        <f t="shared" si="32"/>
        <v>平成4年12月5日</v>
      </c>
      <c r="I908" s="22">
        <f t="shared" si="31"/>
        <v>33943</v>
      </c>
      <c r="J908" s="1" t="str">
        <f>"00740523"</f>
        <v>00740523</v>
      </c>
      <c r="K908" s="1" t="str">
        <f>"７８０　　　　　　　　　　　　　　　　　"</f>
        <v>７８０　　　　　　　　　　　　　　　　　</v>
      </c>
      <c r="L908" s="1"/>
    </row>
    <row r="909" spans="1:12" ht="18" customHeight="1" x14ac:dyDescent="0.15">
      <c r="A909" s="11">
        <v>2066</v>
      </c>
      <c r="B909" s="11" t="s">
        <v>53</v>
      </c>
      <c r="C909" s="11" t="s">
        <v>156</v>
      </c>
      <c r="D909" s="11">
        <v>1</v>
      </c>
      <c r="E909" s="11" t="s">
        <v>4</v>
      </c>
      <c r="F909" s="12">
        <v>20600</v>
      </c>
      <c r="G909" s="12">
        <v>20600</v>
      </c>
      <c r="H909" s="11" t="str">
        <f t="shared" si="32"/>
        <v>平成4年12月5日</v>
      </c>
      <c r="I909" s="22">
        <f t="shared" si="31"/>
        <v>33943</v>
      </c>
      <c r="J909" s="1" t="str">
        <f>"00740525"</f>
        <v>00740525</v>
      </c>
      <c r="K909" s="1" t="str">
        <f>"７８１　　　　　　　　　　　　　　　　　"</f>
        <v>７８１　　　　　　　　　　　　　　　　　</v>
      </c>
      <c r="L909" s="1"/>
    </row>
    <row r="910" spans="1:12" ht="18" customHeight="1" x14ac:dyDescent="0.15">
      <c r="A910" s="11">
        <v>2067</v>
      </c>
      <c r="B910" s="11" t="s">
        <v>53</v>
      </c>
      <c r="C910" s="11" t="s">
        <v>156</v>
      </c>
      <c r="D910" s="11">
        <v>1</v>
      </c>
      <c r="E910" s="11" t="s">
        <v>4</v>
      </c>
      <c r="F910" s="12">
        <v>20600</v>
      </c>
      <c r="G910" s="12">
        <v>20600</v>
      </c>
      <c r="H910" s="11" t="str">
        <f t="shared" si="32"/>
        <v>平成4年12月5日</v>
      </c>
      <c r="I910" s="22">
        <f t="shared" si="31"/>
        <v>33943</v>
      </c>
      <c r="J910" s="1" t="str">
        <f>"00740527"</f>
        <v>00740527</v>
      </c>
      <c r="K910" s="1" t="str">
        <f>"７８２　　　　　　　　　　　　　　　　　"</f>
        <v>７８２　　　　　　　　　　　　　　　　　</v>
      </c>
      <c r="L910" s="1"/>
    </row>
    <row r="911" spans="1:12" ht="18" customHeight="1" x14ac:dyDescent="0.15">
      <c r="A911" s="11">
        <v>2068</v>
      </c>
      <c r="B911" s="11" t="s">
        <v>53</v>
      </c>
      <c r="C911" s="11" t="s">
        <v>156</v>
      </c>
      <c r="D911" s="11">
        <v>1</v>
      </c>
      <c r="E911" s="11" t="s">
        <v>4</v>
      </c>
      <c r="F911" s="12">
        <v>20600</v>
      </c>
      <c r="G911" s="12">
        <v>20600</v>
      </c>
      <c r="H911" s="11" t="str">
        <f t="shared" si="32"/>
        <v>平成4年12月5日</v>
      </c>
      <c r="I911" s="22">
        <f t="shared" si="31"/>
        <v>33943</v>
      </c>
      <c r="J911" s="1" t="str">
        <f>"00740529"</f>
        <v>00740529</v>
      </c>
      <c r="K911" s="1" t="str">
        <f>"７８３　　　　　　　　　　　　　　　　　"</f>
        <v>７８３　　　　　　　　　　　　　　　　　</v>
      </c>
      <c r="L911" s="1"/>
    </row>
    <row r="912" spans="1:12" ht="18" customHeight="1" x14ac:dyDescent="0.15">
      <c r="A912" s="11">
        <v>2069</v>
      </c>
      <c r="B912" s="11" t="s">
        <v>53</v>
      </c>
      <c r="C912" s="11" t="s">
        <v>156</v>
      </c>
      <c r="D912" s="11">
        <v>1</v>
      </c>
      <c r="E912" s="11" t="s">
        <v>4</v>
      </c>
      <c r="F912" s="12">
        <v>20600</v>
      </c>
      <c r="G912" s="12">
        <v>20600</v>
      </c>
      <c r="H912" s="11" t="str">
        <f t="shared" si="32"/>
        <v>平成4年12月5日</v>
      </c>
      <c r="I912" s="22">
        <f t="shared" si="31"/>
        <v>33943</v>
      </c>
      <c r="J912" s="1" t="str">
        <f>"00740531"</f>
        <v>00740531</v>
      </c>
      <c r="K912" s="1" t="str">
        <f>"７８４　　　　　　　　　　　　　　　　　"</f>
        <v>７８４　　　　　　　　　　　　　　　　　</v>
      </c>
      <c r="L912" s="1"/>
    </row>
    <row r="913" spans="1:12" ht="18" customHeight="1" x14ac:dyDescent="0.15">
      <c r="A913" s="11">
        <v>2070</v>
      </c>
      <c r="B913" s="11" t="s">
        <v>53</v>
      </c>
      <c r="C913" s="11" t="s">
        <v>156</v>
      </c>
      <c r="D913" s="11">
        <v>1</v>
      </c>
      <c r="E913" s="11" t="s">
        <v>4</v>
      </c>
      <c r="F913" s="12">
        <v>20600</v>
      </c>
      <c r="G913" s="12">
        <v>20600</v>
      </c>
      <c r="H913" s="11" t="str">
        <f t="shared" si="32"/>
        <v>平成4年12月5日</v>
      </c>
      <c r="I913" s="22">
        <f t="shared" si="31"/>
        <v>33943</v>
      </c>
      <c r="J913" s="1" t="str">
        <f>"00740533"</f>
        <v>00740533</v>
      </c>
      <c r="K913" s="1" t="str">
        <f>"７８５　　　　　　　　　　　　　　　　　"</f>
        <v>７８５　　　　　　　　　　　　　　　　　</v>
      </c>
      <c r="L913" s="1"/>
    </row>
    <row r="914" spans="1:12" ht="18" customHeight="1" x14ac:dyDescent="0.15">
      <c r="A914" s="11">
        <v>2071</v>
      </c>
      <c r="B914" s="11" t="s">
        <v>53</v>
      </c>
      <c r="C914" s="11" t="s">
        <v>156</v>
      </c>
      <c r="D914" s="11">
        <v>1</v>
      </c>
      <c r="E914" s="11" t="s">
        <v>4</v>
      </c>
      <c r="F914" s="12">
        <v>20600</v>
      </c>
      <c r="G914" s="12">
        <v>20600</v>
      </c>
      <c r="H914" s="11" t="str">
        <f t="shared" si="32"/>
        <v>平成4年12月5日</v>
      </c>
      <c r="I914" s="22">
        <f t="shared" ref="I914:I977" si="33">DATEVALUE(H914)</f>
        <v>33943</v>
      </c>
      <c r="J914" s="1" t="str">
        <f>"00740535"</f>
        <v>00740535</v>
      </c>
      <c r="K914" s="1" t="str">
        <f>"７８６　　　　　　　　　　　　　　　　　"</f>
        <v>７８６　　　　　　　　　　　　　　　　　</v>
      </c>
      <c r="L914" s="1"/>
    </row>
    <row r="915" spans="1:12" ht="18" customHeight="1" x14ac:dyDescent="0.15">
      <c r="A915" s="11">
        <v>2072</v>
      </c>
      <c r="B915" s="11" t="s">
        <v>53</v>
      </c>
      <c r="C915" s="11" t="s">
        <v>156</v>
      </c>
      <c r="D915" s="11">
        <v>1</v>
      </c>
      <c r="E915" s="11" t="s">
        <v>4</v>
      </c>
      <c r="F915" s="12">
        <v>20600</v>
      </c>
      <c r="G915" s="12">
        <v>20600</v>
      </c>
      <c r="H915" s="11" t="str">
        <f t="shared" si="32"/>
        <v>平成4年12月5日</v>
      </c>
      <c r="I915" s="22">
        <f t="shared" si="33"/>
        <v>33943</v>
      </c>
      <c r="J915" s="1" t="str">
        <f>"00740537"</f>
        <v>00740537</v>
      </c>
      <c r="K915" s="1" t="str">
        <f>"７８７　　　　　　　　　　　　　　　　　"</f>
        <v>７８７　　　　　　　　　　　　　　　　　</v>
      </c>
      <c r="L915" s="1"/>
    </row>
    <row r="916" spans="1:12" ht="18" customHeight="1" x14ac:dyDescent="0.15">
      <c r="A916" s="11">
        <v>2073</v>
      </c>
      <c r="B916" s="11" t="s">
        <v>53</v>
      </c>
      <c r="C916" s="11" t="s">
        <v>156</v>
      </c>
      <c r="D916" s="11">
        <v>1</v>
      </c>
      <c r="E916" s="11" t="s">
        <v>4</v>
      </c>
      <c r="F916" s="12">
        <v>20600</v>
      </c>
      <c r="G916" s="12">
        <v>20600</v>
      </c>
      <c r="H916" s="11" t="str">
        <f t="shared" si="32"/>
        <v>平成4年12月5日</v>
      </c>
      <c r="I916" s="22">
        <f t="shared" si="33"/>
        <v>33943</v>
      </c>
      <c r="J916" s="1" t="str">
        <f>"00740539"</f>
        <v>00740539</v>
      </c>
      <c r="K916" s="1" t="str">
        <f>"７８８　　　　　　　　　　　　　　　　　"</f>
        <v>７８８　　　　　　　　　　　　　　　　　</v>
      </c>
      <c r="L916" s="1"/>
    </row>
    <row r="917" spans="1:12" ht="18" customHeight="1" x14ac:dyDescent="0.15">
      <c r="A917" s="11">
        <v>2074</v>
      </c>
      <c r="B917" s="11" t="s">
        <v>53</v>
      </c>
      <c r="C917" s="11" t="s">
        <v>156</v>
      </c>
      <c r="D917" s="11">
        <v>1</v>
      </c>
      <c r="E917" s="11" t="s">
        <v>4</v>
      </c>
      <c r="F917" s="12">
        <v>20600</v>
      </c>
      <c r="G917" s="12">
        <v>20600</v>
      </c>
      <c r="H917" s="11" t="str">
        <f t="shared" si="32"/>
        <v>平成4年12月5日</v>
      </c>
      <c r="I917" s="22">
        <f t="shared" si="33"/>
        <v>33943</v>
      </c>
      <c r="J917" s="1" t="str">
        <f>"00740541"</f>
        <v>00740541</v>
      </c>
      <c r="K917" s="1" t="str">
        <f>"７８９　　　　　　　　　　　　　　　　　"</f>
        <v>７８９　　　　　　　　　　　　　　　　　</v>
      </c>
      <c r="L917" s="1"/>
    </row>
    <row r="918" spans="1:12" ht="18" customHeight="1" x14ac:dyDescent="0.15">
      <c r="A918" s="11">
        <v>2075</v>
      </c>
      <c r="B918" s="11" t="s">
        <v>53</v>
      </c>
      <c r="C918" s="11" t="s">
        <v>156</v>
      </c>
      <c r="D918" s="11">
        <v>1</v>
      </c>
      <c r="E918" s="11" t="s">
        <v>4</v>
      </c>
      <c r="F918" s="12">
        <v>20600</v>
      </c>
      <c r="G918" s="12">
        <v>20600</v>
      </c>
      <c r="H918" s="11" t="str">
        <f t="shared" si="32"/>
        <v>平成4年12月5日</v>
      </c>
      <c r="I918" s="22">
        <f t="shared" si="33"/>
        <v>33943</v>
      </c>
      <c r="J918" s="1" t="str">
        <f>"00740543"</f>
        <v>00740543</v>
      </c>
      <c r="K918" s="1" t="str">
        <f>"７９０　　　　　　　　　　　　　　　　　"</f>
        <v>７９０　　　　　　　　　　　　　　　　　</v>
      </c>
      <c r="L918" s="1"/>
    </row>
    <row r="919" spans="1:12" ht="18" customHeight="1" x14ac:dyDescent="0.15">
      <c r="A919" s="11">
        <v>2076</v>
      </c>
      <c r="B919" s="11" t="s">
        <v>53</v>
      </c>
      <c r="C919" s="11" t="s">
        <v>156</v>
      </c>
      <c r="D919" s="11">
        <v>1</v>
      </c>
      <c r="E919" s="11" t="s">
        <v>4</v>
      </c>
      <c r="F919" s="12">
        <v>20600</v>
      </c>
      <c r="G919" s="12">
        <v>20600</v>
      </c>
      <c r="H919" s="11" t="str">
        <f t="shared" si="32"/>
        <v>平成4年12月5日</v>
      </c>
      <c r="I919" s="22">
        <f t="shared" si="33"/>
        <v>33943</v>
      </c>
      <c r="J919" s="1" t="str">
        <f>"00740545"</f>
        <v>00740545</v>
      </c>
      <c r="K919" s="1" t="str">
        <f>"７９１　　　　　　　　　　　　　　　　　"</f>
        <v>７９１　　　　　　　　　　　　　　　　　</v>
      </c>
      <c r="L919" s="1"/>
    </row>
    <row r="920" spans="1:12" ht="18" customHeight="1" x14ac:dyDescent="0.15">
      <c r="A920" s="11">
        <v>2077</v>
      </c>
      <c r="B920" s="11" t="s">
        <v>53</v>
      </c>
      <c r="C920" s="11" t="s">
        <v>156</v>
      </c>
      <c r="D920" s="11">
        <v>1</v>
      </c>
      <c r="E920" s="11" t="s">
        <v>4</v>
      </c>
      <c r="F920" s="12">
        <v>20600</v>
      </c>
      <c r="G920" s="12">
        <v>20600</v>
      </c>
      <c r="H920" s="11" t="str">
        <f t="shared" si="32"/>
        <v>平成4年12月5日</v>
      </c>
      <c r="I920" s="22">
        <f t="shared" si="33"/>
        <v>33943</v>
      </c>
      <c r="J920" s="1" t="str">
        <f>"00740547"</f>
        <v>00740547</v>
      </c>
      <c r="K920" s="1" t="str">
        <f>"７９２　　　　　　　　　　　　　　　　　"</f>
        <v>７９２　　　　　　　　　　　　　　　　　</v>
      </c>
      <c r="L920" s="1"/>
    </row>
    <row r="921" spans="1:12" ht="18" customHeight="1" x14ac:dyDescent="0.15">
      <c r="A921" s="11">
        <v>2078</v>
      </c>
      <c r="B921" s="11" t="s">
        <v>53</v>
      </c>
      <c r="C921" s="11" t="s">
        <v>156</v>
      </c>
      <c r="D921" s="11">
        <v>1</v>
      </c>
      <c r="E921" s="11" t="s">
        <v>4</v>
      </c>
      <c r="F921" s="12">
        <v>20600</v>
      </c>
      <c r="G921" s="12">
        <v>20600</v>
      </c>
      <c r="H921" s="11" t="str">
        <f t="shared" si="32"/>
        <v>平成4年12月5日</v>
      </c>
      <c r="I921" s="22">
        <f t="shared" si="33"/>
        <v>33943</v>
      </c>
      <c r="J921" s="1" t="str">
        <f>"00740549"</f>
        <v>00740549</v>
      </c>
      <c r="K921" s="1" t="str">
        <f>"７９３　　　　　　　　　　　　　　　　　"</f>
        <v>７９３　　　　　　　　　　　　　　　　　</v>
      </c>
      <c r="L921" s="1"/>
    </row>
    <row r="922" spans="1:12" ht="18" customHeight="1" x14ac:dyDescent="0.15">
      <c r="A922" s="11">
        <v>2079</v>
      </c>
      <c r="B922" s="11" t="s">
        <v>53</v>
      </c>
      <c r="C922" s="11" t="s">
        <v>156</v>
      </c>
      <c r="D922" s="11">
        <v>1</v>
      </c>
      <c r="E922" s="11" t="s">
        <v>4</v>
      </c>
      <c r="F922" s="12">
        <v>20600</v>
      </c>
      <c r="G922" s="12">
        <v>20600</v>
      </c>
      <c r="H922" s="11" t="str">
        <f t="shared" si="32"/>
        <v>平成4年12月5日</v>
      </c>
      <c r="I922" s="22">
        <f t="shared" si="33"/>
        <v>33943</v>
      </c>
      <c r="J922" s="1" t="str">
        <f>"00740551"</f>
        <v>00740551</v>
      </c>
      <c r="K922" s="1" t="str">
        <f>"７９４　　　　　　　　　　　　　　　　　"</f>
        <v>７９４　　　　　　　　　　　　　　　　　</v>
      </c>
      <c r="L922" s="1"/>
    </row>
    <row r="923" spans="1:12" ht="18" customHeight="1" x14ac:dyDescent="0.15">
      <c r="A923" s="11">
        <v>2080</v>
      </c>
      <c r="B923" s="11" t="s">
        <v>53</v>
      </c>
      <c r="C923" s="11" t="s">
        <v>156</v>
      </c>
      <c r="D923" s="11">
        <v>1</v>
      </c>
      <c r="E923" s="11" t="s">
        <v>4</v>
      </c>
      <c r="F923" s="12">
        <v>20600</v>
      </c>
      <c r="G923" s="12">
        <v>20600</v>
      </c>
      <c r="H923" s="11" t="str">
        <f t="shared" si="32"/>
        <v>平成4年12月5日</v>
      </c>
      <c r="I923" s="22">
        <f t="shared" si="33"/>
        <v>33943</v>
      </c>
      <c r="J923" s="1" t="str">
        <f>"00740553"</f>
        <v>00740553</v>
      </c>
      <c r="K923" s="1" t="str">
        <f>"７９５　　　　　　　　　　　　　　　　　"</f>
        <v>７９５　　　　　　　　　　　　　　　　　</v>
      </c>
      <c r="L923" s="1"/>
    </row>
    <row r="924" spans="1:12" ht="18" customHeight="1" x14ac:dyDescent="0.15">
      <c r="A924" s="11">
        <v>2081</v>
      </c>
      <c r="B924" s="11" t="s">
        <v>53</v>
      </c>
      <c r="C924" s="11" t="s">
        <v>156</v>
      </c>
      <c r="D924" s="11">
        <v>1</v>
      </c>
      <c r="E924" s="11" t="s">
        <v>4</v>
      </c>
      <c r="F924" s="12">
        <v>20600</v>
      </c>
      <c r="G924" s="12">
        <v>20600</v>
      </c>
      <c r="H924" s="11" t="str">
        <f t="shared" si="32"/>
        <v>平成4年12月5日</v>
      </c>
      <c r="I924" s="22">
        <f t="shared" si="33"/>
        <v>33943</v>
      </c>
      <c r="J924" s="1" t="str">
        <f>"00740555"</f>
        <v>00740555</v>
      </c>
      <c r="K924" s="1" t="str">
        <f>"７９６　　　　　　　　　　　　　　　　　"</f>
        <v>７９６　　　　　　　　　　　　　　　　　</v>
      </c>
      <c r="L924" s="1"/>
    </row>
    <row r="925" spans="1:12" ht="18" customHeight="1" x14ac:dyDescent="0.15">
      <c r="A925" s="11">
        <v>2082</v>
      </c>
      <c r="B925" s="11" t="s">
        <v>53</v>
      </c>
      <c r="C925" s="11" t="s">
        <v>156</v>
      </c>
      <c r="D925" s="11">
        <v>1</v>
      </c>
      <c r="E925" s="11" t="s">
        <v>4</v>
      </c>
      <c r="F925" s="12">
        <v>20600</v>
      </c>
      <c r="G925" s="12">
        <v>20600</v>
      </c>
      <c r="H925" s="11" t="str">
        <f t="shared" si="32"/>
        <v>平成4年12月5日</v>
      </c>
      <c r="I925" s="22">
        <f t="shared" si="33"/>
        <v>33943</v>
      </c>
      <c r="J925" s="1" t="str">
        <f>"00740557"</f>
        <v>00740557</v>
      </c>
      <c r="K925" s="1" t="str">
        <f>"７９７　　　　　　　　　　　　　　　　　"</f>
        <v>７９７　　　　　　　　　　　　　　　　　</v>
      </c>
      <c r="L925" s="1"/>
    </row>
    <row r="926" spans="1:12" ht="18" customHeight="1" x14ac:dyDescent="0.15">
      <c r="A926" s="11">
        <v>2083</v>
      </c>
      <c r="B926" s="11" t="s">
        <v>53</v>
      </c>
      <c r="C926" s="11" t="s">
        <v>156</v>
      </c>
      <c r="D926" s="11">
        <v>1</v>
      </c>
      <c r="E926" s="11" t="s">
        <v>4</v>
      </c>
      <c r="F926" s="12">
        <v>20600</v>
      </c>
      <c r="G926" s="12">
        <v>20600</v>
      </c>
      <c r="H926" s="11" t="str">
        <f t="shared" si="32"/>
        <v>平成4年12月5日</v>
      </c>
      <c r="I926" s="22">
        <f t="shared" si="33"/>
        <v>33943</v>
      </c>
      <c r="J926" s="1" t="str">
        <f>"00740559"</f>
        <v>00740559</v>
      </c>
      <c r="K926" s="1" t="str">
        <f>"７９８　　　　　　　　　　　　　　　　　"</f>
        <v>７９８　　　　　　　　　　　　　　　　　</v>
      </c>
      <c r="L926" s="1"/>
    </row>
    <row r="927" spans="1:12" ht="18" customHeight="1" x14ac:dyDescent="0.15">
      <c r="A927" s="11">
        <v>2084</v>
      </c>
      <c r="B927" s="11" t="s">
        <v>53</v>
      </c>
      <c r="C927" s="11" t="s">
        <v>156</v>
      </c>
      <c r="D927" s="11">
        <v>1</v>
      </c>
      <c r="E927" s="11" t="s">
        <v>4</v>
      </c>
      <c r="F927" s="12">
        <v>20600</v>
      </c>
      <c r="G927" s="12">
        <v>20600</v>
      </c>
      <c r="H927" s="11" t="str">
        <f t="shared" si="32"/>
        <v>平成4年12月5日</v>
      </c>
      <c r="I927" s="22">
        <f t="shared" si="33"/>
        <v>33943</v>
      </c>
      <c r="J927" s="1" t="str">
        <f>"00740561"</f>
        <v>00740561</v>
      </c>
      <c r="K927" s="1" t="str">
        <f>"７９９　　　　　　　　　　　　　　　　　"</f>
        <v>７９９　　　　　　　　　　　　　　　　　</v>
      </c>
      <c r="L927" s="1"/>
    </row>
    <row r="928" spans="1:12" ht="18" customHeight="1" x14ac:dyDescent="0.15">
      <c r="A928" s="11">
        <v>2085</v>
      </c>
      <c r="B928" s="11" t="s">
        <v>53</v>
      </c>
      <c r="C928" s="11" t="s">
        <v>156</v>
      </c>
      <c r="D928" s="11">
        <v>1</v>
      </c>
      <c r="E928" s="11" t="s">
        <v>4</v>
      </c>
      <c r="F928" s="12">
        <v>20600</v>
      </c>
      <c r="G928" s="12">
        <v>20600</v>
      </c>
      <c r="H928" s="11" t="str">
        <f t="shared" si="32"/>
        <v>平成4年12月5日</v>
      </c>
      <c r="I928" s="22">
        <f t="shared" si="33"/>
        <v>33943</v>
      </c>
      <c r="J928" s="1" t="str">
        <f>"00740563"</f>
        <v>00740563</v>
      </c>
      <c r="K928" s="1" t="str">
        <f>"８００　　　　　　　　　　　　　　　　　"</f>
        <v>８００　　　　　　　　　　　　　　　　　</v>
      </c>
      <c r="L928" s="1"/>
    </row>
    <row r="929" spans="1:12" ht="18" customHeight="1" x14ac:dyDescent="0.15">
      <c r="A929" s="11">
        <v>2086</v>
      </c>
      <c r="B929" s="11" t="s">
        <v>53</v>
      </c>
      <c r="C929" s="11" t="s">
        <v>156</v>
      </c>
      <c r="D929" s="11">
        <v>1</v>
      </c>
      <c r="E929" s="11" t="s">
        <v>4</v>
      </c>
      <c r="F929" s="12">
        <v>20600</v>
      </c>
      <c r="G929" s="12">
        <v>20600</v>
      </c>
      <c r="H929" s="11" t="str">
        <f t="shared" si="32"/>
        <v>平成4年12月5日</v>
      </c>
      <c r="I929" s="22">
        <f t="shared" si="33"/>
        <v>33943</v>
      </c>
      <c r="J929" s="1" t="str">
        <f>"00740565"</f>
        <v>00740565</v>
      </c>
      <c r="K929" s="1" t="str">
        <f>"８０１　　　　　　　　　　　　　　　　　"</f>
        <v>８０１　　　　　　　　　　　　　　　　　</v>
      </c>
      <c r="L929" s="1"/>
    </row>
    <row r="930" spans="1:12" ht="18" customHeight="1" x14ac:dyDescent="0.15">
      <c r="A930" s="11">
        <v>2087</v>
      </c>
      <c r="B930" s="11" t="s">
        <v>53</v>
      </c>
      <c r="C930" s="11" t="s">
        <v>156</v>
      </c>
      <c r="D930" s="11">
        <v>1</v>
      </c>
      <c r="E930" s="11" t="s">
        <v>4</v>
      </c>
      <c r="F930" s="12">
        <v>20600</v>
      </c>
      <c r="G930" s="12">
        <v>20600</v>
      </c>
      <c r="H930" s="11" t="str">
        <f t="shared" si="32"/>
        <v>平成4年12月5日</v>
      </c>
      <c r="I930" s="22">
        <f t="shared" si="33"/>
        <v>33943</v>
      </c>
      <c r="J930" s="1" t="str">
        <f>"00740567"</f>
        <v>00740567</v>
      </c>
      <c r="K930" s="1" t="str">
        <f>"８０２　　　　　　　　　　　　　　　　　"</f>
        <v>８０２　　　　　　　　　　　　　　　　　</v>
      </c>
      <c r="L930" s="1"/>
    </row>
    <row r="931" spans="1:12" ht="18" customHeight="1" x14ac:dyDescent="0.15">
      <c r="A931" s="11">
        <v>2088</v>
      </c>
      <c r="B931" s="11" t="s">
        <v>53</v>
      </c>
      <c r="C931" s="11" t="s">
        <v>156</v>
      </c>
      <c r="D931" s="11">
        <v>1</v>
      </c>
      <c r="E931" s="11" t="s">
        <v>4</v>
      </c>
      <c r="F931" s="12">
        <v>20600</v>
      </c>
      <c r="G931" s="12">
        <v>20600</v>
      </c>
      <c r="H931" s="11" t="str">
        <f t="shared" si="32"/>
        <v>平成4年12月5日</v>
      </c>
      <c r="I931" s="22">
        <f t="shared" si="33"/>
        <v>33943</v>
      </c>
      <c r="J931" s="1" t="str">
        <f>"00740569"</f>
        <v>00740569</v>
      </c>
      <c r="K931" s="1" t="str">
        <f>"８０３　　　　　　　　　　　　　　　　　"</f>
        <v>８０３　　　　　　　　　　　　　　　　　</v>
      </c>
      <c r="L931" s="1"/>
    </row>
    <row r="932" spans="1:12" ht="18" customHeight="1" x14ac:dyDescent="0.15">
      <c r="A932" s="11">
        <v>2089</v>
      </c>
      <c r="B932" s="11" t="s">
        <v>53</v>
      </c>
      <c r="C932" s="11" t="s">
        <v>156</v>
      </c>
      <c r="D932" s="11">
        <v>1</v>
      </c>
      <c r="E932" s="11" t="s">
        <v>4</v>
      </c>
      <c r="F932" s="12">
        <v>20600</v>
      </c>
      <c r="G932" s="12">
        <v>20600</v>
      </c>
      <c r="H932" s="11" t="str">
        <f t="shared" si="32"/>
        <v>平成4年12月5日</v>
      </c>
      <c r="I932" s="22">
        <f t="shared" si="33"/>
        <v>33943</v>
      </c>
      <c r="J932" s="1" t="str">
        <f>"00740571"</f>
        <v>00740571</v>
      </c>
      <c r="K932" s="1" t="str">
        <f>"８０４　　　　　　　　　　　　　　　　　"</f>
        <v>８０４　　　　　　　　　　　　　　　　　</v>
      </c>
      <c r="L932" s="1"/>
    </row>
    <row r="933" spans="1:12" ht="18" customHeight="1" x14ac:dyDescent="0.15">
      <c r="A933" s="11">
        <v>2090</v>
      </c>
      <c r="B933" s="11" t="s">
        <v>53</v>
      </c>
      <c r="C933" s="11" t="s">
        <v>156</v>
      </c>
      <c r="D933" s="11">
        <v>1</v>
      </c>
      <c r="E933" s="11" t="s">
        <v>4</v>
      </c>
      <c r="F933" s="12">
        <v>20600</v>
      </c>
      <c r="G933" s="12">
        <v>20600</v>
      </c>
      <c r="H933" s="11" t="str">
        <f t="shared" si="32"/>
        <v>平成4年12月5日</v>
      </c>
      <c r="I933" s="22">
        <f t="shared" si="33"/>
        <v>33943</v>
      </c>
      <c r="J933" s="1" t="str">
        <f>"00740573"</f>
        <v>00740573</v>
      </c>
      <c r="K933" s="1" t="str">
        <f>"８０５　　　　　　　　　　　　　　　　　"</f>
        <v>８０５　　　　　　　　　　　　　　　　　</v>
      </c>
      <c r="L933" s="1"/>
    </row>
    <row r="934" spans="1:12" ht="18" customHeight="1" x14ac:dyDescent="0.15">
      <c r="A934" s="11">
        <v>2091</v>
      </c>
      <c r="B934" s="11" t="s">
        <v>53</v>
      </c>
      <c r="C934" s="11" t="s">
        <v>156</v>
      </c>
      <c r="D934" s="11">
        <v>1</v>
      </c>
      <c r="E934" s="11" t="s">
        <v>4</v>
      </c>
      <c r="F934" s="12">
        <v>20600</v>
      </c>
      <c r="G934" s="12">
        <v>20600</v>
      </c>
      <c r="H934" s="11" t="str">
        <f t="shared" si="32"/>
        <v>平成4年12月5日</v>
      </c>
      <c r="I934" s="22">
        <f t="shared" si="33"/>
        <v>33943</v>
      </c>
      <c r="J934" s="1" t="str">
        <f>"00740575"</f>
        <v>00740575</v>
      </c>
      <c r="K934" s="1" t="str">
        <f>"８０６　　　　　　　　　　　　　　　　　"</f>
        <v>８０６　　　　　　　　　　　　　　　　　</v>
      </c>
      <c r="L934" s="1"/>
    </row>
    <row r="935" spans="1:12" ht="18" customHeight="1" x14ac:dyDescent="0.15">
      <c r="A935" s="11">
        <v>2092</v>
      </c>
      <c r="B935" s="11" t="s">
        <v>53</v>
      </c>
      <c r="C935" s="11" t="s">
        <v>156</v>
      </c>
      <c r="D935" s="11">
        <v>1</v>
      </c>
      <c r="E935" s="11" t="s">
        <v>4</v>
      </c>
      <c r="F935" s="12">
        <v>20600</v>
      </c>
      <c r="G935" s="12">
        <v>20600</v>
      </c>
      <c r="H935" s="11" t="str">
        <f t="shared" si="32"/>
        <v>平成4年12月5日</v>
      </c>
      <c r="I935" s="22">
        <f t="shared" si="33"/>
        <v>33943</v>
      </c>
      <c r="J935" s="1" t="str">
        <f>"00740577"</f>
        <v>00740577</v>
      </c>
      <c r="K935" s="1" t="str">
        <f>"８０７　　　　　　　　　　　　　　　　　"</f>
        <v>８０７　　　　　　　　　　　　　　　　　</v>
      </c>
      <c r="L935" s="1"/>
    </row>
    <row r="936" spans="1:12" ht="18" customHeight="1" x14ac:dyDescent="0.15">
      <c r="A936" s="11">
        <v>2093</v>
      </c>
      <c r="B936" s="11" t="s">
        <v>53</v>
      </c>
      <c r="C936" s="11" t="s">
        <v>156</v>
      </c>
      <c r="D936" s="11">
        <v>1</v>
      </c>
      <c r="E936" s="11" t="s">
        <v>4</v>
      </c>
      <c r="F936" s="12">
        <v>20600</v>
      </c>
      <c r="G936" s="12">
        <v>20600</v>
      </c>
      <c r="H936" s="11" t="str">
        <f t="shared" si="32"/>
        <v>平成4年12月5日</v>
      </c>
      <c r="I936" s="22">
        <f t="shared" si="33"/>
        <v>33943</v>
      </c>
      <c r="J936" s="1" t="str">
        <f>"00740579"</f>
        <v>00740579</v>
      </c>
      <c r="K936" s="1" t="str">
        <f>"８０８　　　　　　　　　　　　　　　　　"</f>
        <v>８０８　　　　　　　　　　　　　　　　　</v>
      </c>
      <c r="L936" s="1"/>
    </row>
    <row r="937" spans="1:12" ht="18" customHeight="1" x14ac:dyDescent="0.15">
      <c r="A937" s="11">
        <v>2094</v>
      </c>
      <c r="B937" s="11" t="s">
        <v>53</v>
      </c>
      <c r="C937" s="11" t="s">
        <v>156</v>
      </c>
      <c r="D937" s="11">
        <v>1</v>
      </c>
      <c r="E937" s="11" t="s">
        <v>4</v>
      </c>
      <c r="F937" s="12">
        <v>20600</v>
      </c>
      <c r="G937" s="12">
        <v>20600</v>
      </c>
      <c r="H937" s="11" t="str">
        <f t="shared" si="32"/>
        <v>平成4年12月5日</v>
      </c>
      <c r="I937" s="22">
        <f t="shared" si="33"/>
        <v>33943</v>
      </c>
      <c r="J937" s="1" t="str">
        <f>"00740581"</f>
        <v>00740581</v>
      </c>
      <c r="K937" s="1" t="str">
        <f>"８０９　　　　　　　　　　　　　　　　　"</f>
        <v>８０９　　　　　　　　　　　　　　　　　</v>
      </c>
      <c r="L937" s="1"/>
    </row>
    <row r="938" spans="1:12" ht="18" customHeight="1" x14ac:dyDescent="0.15">
      <c r="A938" s="11">
        <v>2095</v>
      </c>
      <c r="B938" s="11" t="s">
        <v>53</v>
      </c>
      <c r="C938" s="11" t="s">
        <v>156</v>
      </c>
      <c r="D938" s="11">
        <v>1</v>
      </c>
      <c r="E938" s="11" t="s">
        <v>4</v>
      </c>
      <c r="F938" s="12">
        <v>20600</v>
      </c>
      <c r="G938" s="12">
        <v>20600</v>
      </c>
      <c r="H938" s="11" t="str">
        <f t="shared" si="32"/>
        <v>平成4年12月5日</v>
      </c>
      <c r="I938" s="22">
        <f t="shared" si="33"/>
        <v>33943</v>
      </c>
      <c r="J938" s="1" t="str">
        <f>"00740583"</f>
        <v>00740583</v>
      </c>
      <c r="K938" s="1" t="str">
        <f>"８１０　　　　　　　　　　　　　　　　　"</f>
        <v>８１０　　　　　　　　　　　　　　　　　</v>
      </c>
      <c r="L938" s="1"/>
    </row>
    <row r="939" spans="1:12" ht="18" customHeight="1" x14ac:dyDescent="0.15">
      <c r="A939" s="11">
        <v>2096</v>
      </c>
      <c r="B939" s="11" t="s">
        <v>53</v>
      </c>
      <c r="C939" s="11" t="s">
        <v>156</v>
      </c>
      <c r="D939" s="11">
        <v>1</v>
      </c>
      <c r="E939" s="11" t="s">
        <v>4</v>
      </c>
      <c r="F939" s="12">
        <v>20600</v>
      </c>
      <c r="G939" s="12">
        <v>20600</v>
      </c>
      <c r="H939" s="11" t="str">
        <f t="shared" si="32"/>
        <v>平成4年12月5日</v>
      </c>
      <c r="I939" s="22">
        <f t="shared" si="33"/>
        <v>33943</v>
      </c>
      <c r="J939" s="1" t="str">
        <f>"00740585"</f>
        <v>00740585</v>
      </c>
      <c r="K939" s="1" t="str">
        <f>"８１１　　　　　　　　　　　　　　　　　"</f>
        <v>８１１　　　　　　　　　　　　　　　　　</v>
      </c>
      <c r="L939" s="1"/>
    </row>
    <row r="940" spans="1:12" ht="18" customHeight="1" x14ac:dyDescent="0.15">
      <c r="A940" s="11">
        <v>2097</v>
      </c>
      <c r="B940" s="11" t="s">
        <v>53</v>
      </c>
      <c r="C940" s="11" t="s">
        <v>156</v>
      </c>
      <c r="D940" s="11">
        <v>1</v>
      </c>
      <c r="E940" s="11" t="s">
        <v>4</v>
      </c>
      <c r="F940" s="12">
        <v>20600</v>
      </c>
      <c r="G940" s="12">
        <v>20600</v>
      </c>
      <c r="H940" s="11" t="str">
        <f t="shared" si="32"/>
        <v>平成4年12月5日</v>
      </c>
      <c r="I940" s="22">
        <f t="shared" si="33"/>
        <v>33943</v>
      </c>
      <c r="J940" s="1" t="str">
        <f>"00740587"</f>
        <v>00740587</v>
      </c>
      <c r="K940" s="1" t="str">
        <f>"８１２　　　　　　　　　　　　　　　　　"</f>
        <v>８１２　　　　　　　　　　　　　　　　　</v>
      </c>
      <c r="L940" s="1"/>
    </row>
    <row r="941" spans="1:12" ht="18" customHeight="1" x14ac:dyDescent="0.15">
      <c r="A941" s="11">
        <v>2098</v>
      </c>
      <c r="B941" s="11" t="s">
        <v>53</v>
      </c>
      <c r="C941" s="11" t="s">
        <v>156</v>
      </c>
      <c r="D941" s="11">
        <v>1</v>
      </c>
      <c r="E941" s="11" t="s">
        <v>4</v>
      </c>
      <c r="F941" s="12">
        <v>20600</v>
      </c>
      <c r="G941" s="12">
        <v>20600</v>
      </c>
      <c r="H941" s="11" t="str">
        <f t="shared" si="32"/>
        <v>平成4年12月5日</v>
      </c>
      <c r="I941" s="22">
        <f t="shared" si="33"/>
        <v>33943</v>
      </c>
      <c r="J941" s="1" t="str">
        <f>"00740589"</f>
        <v>00740589</v>
      </c>
      <c r="K941" s="1" t="str">
        <f>"８１３　　　　　　　　　　　　　　　　　"</f>
        <v>８１３　　　　　　　　　　　　　　　　　</v>
      </c>
      <c r="L941" s="1"/>
    </row>
    <row r="942" spans="1:12" ht="18" customHeight="1" x14ac:dyDescent="0.15">
      <c r="A942" s="11">
        <v>2099</v>
      </c>
      <c r="B942" s="11" t="s">
        <v>53</v>
      </c>
      <c r="C942" s="11" t="s">
        <v>156</v>
      </c>
      <c r="D942" s="11">
        <v>1</v>
      </c>
      <c r="E942" s="11" t="s">
        <v>4</v>
      </c>
      <c r="F942" s="12">
        <v>20600</v>
      </c>
      <c r="G942" s="12">
        <v>20600</v>
      </c>
      <c r="H942" s="11" t="str">
        <f t="shared" ref="H942:H1005" si="34">"平成4年12月5日"</f>
        <v>平成4年12月5日</v>
      </c>
      <c r="I942" s="22">
        <f t="shared" si="33"/>
        <v>33943</v>
      </c>
      <c r="J942" s="1" t="str">
        <f>"00740591"</f>
        <v>00740591</v>
      </c>
      <c r="K942" s="1" t="str">
        <f>"８１４　　　　　　　　　　　　　　　　　"</f>
        <v>８１４　　　　　　　　　　　　　　　　　</v>
      </c>
      <c r="L942" s="1"/>
    </row>
    <row r="943" spans="1:12" ht="18" customHeight="1" x14ac:dyDescent="0.15">
      <c r="A943" s="11">
        <v>2100</v>
      </c>
      <c r="B943" s="11" t="s">
        <v>53</v>
      </c>
      <c r="C943" s="11" t="s">
        <v>156</v>
      </c>
      <c r="D943" s="11">
        <v>1</v>
      </c>
      <c r="E943" s="11" t="s">
        <v>4</v>
      </c>
      <c r="F943" s="12">
        <v>20600</v>
      </c>
      <c r="G943" s="12">
        <v>20600</v>
      </c>
      <c r="H943" s="11" t="str">
        <f t="shared" si="34"/>
        <v>平成4年12月5日</v>
      </c>
      <c r="I943" s="22">
        <f t="shared" si="33"/>
        <v>33943</v>
      </c>
      <c r="J943" s="1" t="str">
        <f>"00740593"</f>
        <v>00740593</v>
      </c>
      <c r="K943" s="1" t="str">
        <f>"８１５　　　　　　　　　　　　　　　　　"</f>
        <v>８１５　　　　　　　　　　　　　　　　　</v>
      </c>
      <c r="L943" s="1"/>
    </row>
    <row r="944" spans="1:12" ht="18" customHeight="1" x14ac:dyDescent="0.15">
      <c r="A944" s="11">
        <v>2101</v>
      </c>
      <c r="B944" s="11" t="s">
        <v>53</v>
      </c>
      <c r="C944" s="11" t="s">
        <v>156</v>
      </c>
      <c r="D944" s="11">
        <v>1</v>
      </c>
      <c r="E944" s="11" t="s">
        <v>4</v>
      </c>
      <c r="F944" s="12">
        <v>20600</v>
      </c>
      <c r="G944" s="12">
        <v>20600</v>
      </c>
      <c r="H944" s="11" t="str">
        <f t="shared" si="34"/>
        <v>平成4年12月5日</v>
      </c>
      <c r="I944" s="22">
        <f t="shared" si="33"/>
        <v>33943</v>
      </c>
      <c r="J944" s="1" t="str">
        <f>"00740595"</f>
        <v>00740595</v>
      </c>
      <c r="K944" s="1" t="str">
        <f>"８１６　　　　　　　　　　　　　　　　　"</f>
        <v>８１６　　　　　　　　　　　　　　　　　</v>
      </c>
      <c r="L944" s="1"/>
    </row>
    <row r="945" spans="1:12" ht="18" customHeight="1" x14ac:dyDescent="0.15">
      <c r="A945" s="11">
        <v>2102</v>
      </c>
      <c r="B945" s="11" t="s">
        <v>53</v>
      </c>
      <c r="C945" s="11" t="s">
        <v>156</v>
      </c>
      <c r="D945" s="11">
        <v>1</v>
      </c>
      <c r="E945" s="11" t="s">
        <v>4</v>
      </c>
      <c r="F945" s="12">
        <v>20600</v>
      </c>
      <c r="G945" s="12">
        <v>20600</v>
      </c>
      <c r="H945" s="11" t="str">
        <f t="shared" si="34"/>
        <v>平成4年12月5日</v>
      </c>
      <c r="I945" s="22">
        <f t="shared" si="33"/>
        <v>33943</v>
      </c>
      <c r="J945" s="1" t="str">
        <f>"00740597"</f>
        <v>00740597</v>
      </c>
      <c r="K945" s="1" t="str">
        <f>"８１７　　　　　　　　　　　　　　　　　"</f>
        <v>８１７　　　　　　　　　　　　　　　　　</v>
      </c>
      <c r="L945" s="1"/>
    </row>
    <row r="946" spans="1:12" ht="18" customHeight="1" x14ac:dyDescent="0.15">
      <c r="A946" s="11">
        <v>2103</v>
      </c>
      <c r="B946" s="11" t="s">
        <v>53</v>
      </c>
      <c r="C946" s="11" t="s">
        <v>156</v>
      </c>
      <c r="D946" s="11">
        <v>1</v>
      </c>
      <c r="E946" s="11" t="s">
        <v>4</v>
      </c>
      <c r="F946" s="12">
        <v>20600</v>
      </c>
      <c r="G946" s="12">
        <v>20600</v>
      </c>
      <c r="H946" s="11" t="str">
        <f t="shared" si="34"/>
        <v>平成4年12月5日</v>
      </c>
      <c r="I946" s="22">
        <f t="shared" si="33"/>
        <v>33943</v>
      </c>
      <c r="J946" s="1" t="str">
        <f>"00740599"</f>
        <v>00740599</v>
      </c>
      <c r="K946" s="1" t="str">
        <f>"８１８　　　　　　　　　　　　　　　　　"</f>
        <v>８１８　　　　　　　　　　　　　　　　　</v>
      </c>
      <c r="L946" s="1"/>
    </row>
    <row r="947" spans="1:12" ht="18" customHeight="1" x14ac:dyDescent="0.15">
      <c r="A947" s="11">
        <v>2104</v>
      </c>
      <c r="B947" s="11" t="s">
        <v>53</v>
      </c>
      <c r="C947" s="11" t="s">
        <v>156</v>
      </c>
      <c r="D947" s="11">
        <v>1</v>
      </c>
      <c r="E947" s="11" t="s">
        <v>4</v>
      </c>
      <c r="F947" s="12">
        <v>20600</v>
      </c>
      <c r="G947" s="12">
        <v>20600</v>
      </c>
      <c r="H947" s="11" t="str">
        <f t="shared" si="34"/>
        <v>平成4年12月5日</v>
      </c>
      <c r="I947" s="22">
        <f t="shared" si="33"/>
        <v>33943</v>
      </c>
      <c r="J947" s="1" t="str">
        <f>"00740601"</f>
        <v>00740601</v>
      </c>
      <c r="K947" s="1" t="str">
        <f>"８１９　　　　　　　　　　　　　　　　　"</f>
        <v>８１９　　　　　　　　　　　　　　　　　</v>
      </c>
      <c r="L947" s="1"/>
    </row>
    <row r="948" spans="1:12" ht="18" customHeight="1" x14ac:dyDescent="0.15">
      <c r="A948" s="11">
        <v>2105</v>
      </c>
      <c r="B948" s="11" t="s">
        <v>53</v>
      </c>
      <c r="C948" s="11" t="s">
        <v>156</v>
      </c>
      <c r="D948" s="11">
        <v>1</v>
      </c>
      <c r="E948" s="11" t="s">
        <v>4</v>
      </c>
      <c r="F948" s="12">
        <v>20600</v>
      </c>
      <c r="G948" s="12">
        <v>20600</v>
      </c>
      <c r="H948" s="11" t="str">
        <f t="shared" si="34"/>
        <v>平成4年12月5日</v>
      </c>
      <c r="I948" s="22">
        <f t="shared" si="33"/>
        <v>33943</v>
      </c>
      <c r="J948" s="1" t="str">
        <f>"00740603"</f>
        <v>00740603</v>
      </c>
      <c r="K948" s="1" t="str">
        <f>"８２０　　　　　　　　　　　　　　　　　"</f>
        <v>８２０　　　　　　　　　　　　　　　　　</v>
      </c>
      <c r="L948" s="1"/>
    </row>
    <row r="949" spans="1:12" ht="18" customHeight="1" x14ac:dyDescent="0.15">
      <c r="A949" s="11">
        <v>2106</v>
      </c>
      <c r="B949" s="11" t="s">
        <v>53</v>
      </c>
      <c r="C949" s="11" t="s">
        <v>156</v>
      </c>
      <c r="D949" s="11">
        <v>1</v>
      </c>
      <c r="E949" s="11" t="s">
        <v>4</v>
      </c>
      <c r="F949" s="12">
        <v>20600</v>
      </c>
      <c r="G949" s="12">
        <v>20600</v>
      </c>
      <c r="H949" s="11" t="str">
        <f t="shared" si="34"/>
        <v>平成4年12月5日</v>
      </c>
      <c r="I949" s="22">
        <f t="shared" si="33"/>
        <v>33943</v>
      </c>
      <c r="J949" s="1" t="str">
        <f>"00740605"</f>
        <v>00740605</v>
      </c>
      <c r="K949" s="1" t="str">
        <f>"８２１　　　　　　　　　　　　　　　　　"</f>
        <v>８２１　　　　　　　　　　　　　　　　　</v>
      </c>
      <c r="L949" s="1"/>
    </row>
    <row r="950" spans="1:12" ht="18" customHeight="1" x14ac:dyDescent="0.15">
      <c r="A950" s="11">
        <v>2107</v>
      </c>
      <c r="B950" s="11" t="s">
        <v>53</v>
      </c>
      <c r="C950" s="11" t="s">
        <v>156</v>
      </c>
      <c r="D950" s="11">
        <v>1</v>
      </c>
      <c r="E950" s="11" t="s">
        <v>4</v>
      </c>
      <c r="F950" s="12">
        <v>20600</v>
      </c>
      <c r="G950" s="12">
        <v>20600</v>
      </c>
      <c r="H950" s="11" t="str">
        <f t="shared" si="34"/>
        <v>平成4年12月5日</v>
      </c>
      <c r="I950" s="22">
        <f t="shared" si="33"/>
        <v>33943</v>
      </c>
      <c r="J950" s="1" t="str">
        <f>"00740607"</f>
        <v>00740607</v>
      </c>
      <c r="K950" s="1" t="str">
        <f>"８２２　　　　　　　　　　　　　　　　　"</f>
        <v>８２２　　　　　　　　　　　　　　　　　</v>
      </c>
      <c r="L950" s="1"/>
    </row>
    <row r="951" spans="1:12" ht="18" customHeight="1" x14ac:dyDescent="0.15">
      <c r="A951" s="11">
        <v>2108</v>
      </c>
      <c r="B951" s="11" t="s">
        <v>53</v>
      </c>
      <c r="C951" s="11" t="s">
        <v>156</v>
      </c>
      <c r="D951" s="11">
        <v>1</v>
      </c>
      <c r="E951" s="11" t="s">
        <v>4</v>
      </c>
      <c r="F951" s="12">
        <v>20600</v>
      </c>
      <c r="G951" s="12">
        <v>20600</v>
      </c>
      <c r="H951" s="11" t="str">
        <f t="shared" si="34"/>
        <v>平成4年12月5日</v>
      </c>
      <c r="I951" s="22">
        <f t="shared" si="33"/>
        <v>33943</v>
      </c>
      <c r="J951" s="1" t="str">
        <f>"00740609"</f>
        <v>00740609</v>
      </c>
      <c r="K951" s="1" t="str">
        <f>"８２３　　　　　　　　　　　　　　　　　"</f>
        <v>８２３　　　　　　　　　　　　　　　　　</v>
      </c>
      <c r="L951" s="1"/>
    </row>
    <row r="952" spans="1:12" ht="18" customHeight="1" x14ac:dyDescent="0.15">
      <c r="A952" s="11">
        <v>2109</v>
      </c>
      <c r="B952" s="11" t="s">
        <v>53</v>
      </c>
      <c r="C952" s="11" t="s">
        <v>156</v>
      </c>
      <c r="D952" s="11">
        <v>1</v>
      </c>
      <c r="E952" s="11" t="s">
        <v>4</v>
      </c>
      <c r="F952" s="12">
        <v>20600</v>
      </c>
      <c r="G952" s="12">
        <v>20600</v>
      </c>
      <c r="H952" s="11" t="str">
        <f t="shared" si="34"/>
        <v>平成4年12月5日</v>
      </c>
      <c r="I952" s="22">
        <f t="shared" si="33"/>
        <v>33943</v>
      </c>
      <c r="J952" s="1" t="str">
        <f>"00740611"</f>
        <v>00740611</v>
      </c>
      <c r="K952" s="1" t="str">
        <f>"８２４　　　　　　　　　　　　　　　　　"</f>
        <v>８２４　　　　　　　　　　　　　　　　　</v>
      </c>
      <c r="L952" s="1"/>
    </row>
    <row r="953" spans="1:12" ht="18" customHeight="1" x14ac:dyDescent="0.15">
      <c r="A953" s="11">
        <v>2110</v>
      </c>
      <c r="B953" s="11" t="s">
        <v>53</v>
      </c>
      <c r="C953" s="11" t="s">
        <v>156</v>
      </c>
      <c r="D953" s="11">
        <v>1</v>
      </c>
      <c r="E953" s="11" t="s">
        <v>4</v>
      </c>
      <c r="F953" s="12">
        <v>20600</v>
      </c>
      <c r="G953" s="12">
        <v>20600</v>
      </c>
      <c r="H953" s="11" t="str">
        <f t="shared" si="34"/>
        <v>平成4年12月5日</v>
      </c>
      <c r="I953" s="22">
        <f t="shared" si="33"/>
        <v>33943</v>
      </c>
      <c r="J953" s="1" t="str">
        <f>"00740613"</f>
        <v>00740613</v>
      </c>
      <c r="K953" s="1" t="str">
        <f>"８２５　　　　　　　　　　　　　　　　　"</f>
        <v>８２５　　　　　　　　　　　　　　　　　</v>
      </c>
      <c r="L953" s="1"/>
    </row>
    <row r="954" spans="1:12" ht="18" customHeight="1" x14ac:dyDescent="0.15">
      <c r="A954" s="11">
        <v>2111</v>
      </c>
      <c r="B954" s="11" t="s">
        <v>53</v>
      </c>
      <c r="C954" s="11" t="s">
        <v>156</v>
      </c>
      <c r="D954" s="11">
        <v>1</v>
      </c>
      <c r="E954" s="11" t="s">
        <v>4</v>
      </c>
      <c r="F954" s="12">
        <v>20600</v>
      </c>
      <c r="G954" s="12">
        <v>20600</v>
      </c>
      <c r="H954" s="11" t="str">
        <f t="shared" si="34"/>
        <v>平成4年12月5日</v>
      </c>
      <c r="I954" s="22">
        <f t="shared" si="33"/>
        <v>33943</v>
      </c>
      <c r="J954" s="1" t="str">
        <f>"00740615"</f>
        <v>00740615</v>
      </c>
      <c r="K954" s="1" t="str">
        <f>"８２６　　　　　　　　　　　　　　　　　"</f>
        <v>８２６　　　　　　　　　　　　　　　　　</v>
      </c>
      <c r="L954" s="1"/>
    </row>
    <row r="955" spans="1:12" ht="18" customHeight="1" x14ac:dyDescent="0.15">
      <c r="A955" s="11">
        <v>2112</v>
      </c>
      <c r="B955" s="11" t="s">
        <v>53</v>
      </c>
      <c r="C955" s="11" t="s">
        <v>156</v>
      </c>
      <c r="D955" s="11">
        <v>1</v>
      </c>
      <c r="E955" s="11" t="s">
        <v>4</v>
      </c>
      <c r="F955" s="12">
        <v>20600</v>
      </c>
      <c r="G955" s="12">
        <v>20600</v>
      </c>
      <c r="H955" s="11" t="str">
        <f t="shared" si="34"/>
        <v>平成4年12月5日</v>
      </c>
      <c r="I955" s="22">
        <f t="shared" si="33"/>
        <v>33943</v>
      </c>
      <c r="J955" s="1" t="str">
        <f>"00740617"</f>
        <v>00740617</v>
      </c>
      <c r="K955" s="1" t="str">
        <f>"８２７　　　　　　　　　　　　　　　　　"</f>
        <v>８２７　　　　　　　　　　　　　　　　　</v>
      </c>
      <c r="L955" s="1"/>
    </row>
    <row r="956" spans="1:12" ht="18" customHeight="1" x14ac:dyDescent="0.15">
      <c r="A956" s="11">
        <v>2113</v>
      </c>
      <c r="B956" s="11" t="s">
        <v>53</v>
      </c>
      <c r="C956" s="11" t="s">
        <v>156</v>
      </c>
      <c r="D956" s="11">
        <v>1</v>
      </c>
      <c r="E956" s="11" t="s">
        <v>4</v>
      </c>
      <c r="F956" s="12">
        <v>20600</v>
      </c>
      <c r="G956" s="12">
        <v>20600</v>
      </c>
      <c r="H956" s="11" t="str">
        <f t="shared" si="34"/>
        <v>平成4年12月5日</v>
      </c>
      <c r="I956" s="22">
        <f t="shared" si="33"/>
        <v>33943</v>
      </c>
      <c r="J956" s="1" t="str">
        <f>"00740619"</f>
        <v>00740619</v>
      </c>
      <c r="K956" s="1" t="str">
        <f>"８２８　　　　　　　　　　　　　　　　　"</f>
        <v>８２８　　　　　　　　　　　　　　　　　</v>
      </c>
      <c r="L956" s="1"/>
    </row>
    <row r="957" spans="1:12" ht="18" customHeight="1" x14ac:dyDescent="0.15">
      <c r="A957" s="11">
        <v>2114</v>
      </c>
      <c r="B957" s="11" t="s">
        <v>53</v>
      </c>
      <c r="C957" s="11" t="s">
        <v>156</v>
      </c>
      <c r="D957" s="11">
        <v>1</v>
      </c>
      <c r="E957" s="11" t="s">
        <v>4</v>
      </c>
      <c r="F957" s="12">
        <v>20600</v>
      </c>
      <c r="G957" s="12">
        <v>20600</v>
      </c>
      <c r="H957" s="11" t="str">
        <f t="shared" si="34"/>
        <v>平成4年12月5日</v>
      </c>
      <c r="I957" s="22">
        <f t="shared" si="33"/>
        <v>33943</v>
      </c>
      <c r="J957" s="1" t="str">
        <f>"00740621"</f>
        <v>00740621</v>
      </c>
      <c r="K957" s="1" t="str">
        <f>"８２９　　　　　　　　　　　　　　　　　"</f>
        <v>８２９　　　　　　　　　　　　　　　　　</v>
      </c>
      <c r="L957" s="1"/>
    </row>
    <row r="958" spans="1:12" ht="18" customHeight="1" x14ac:dyDescent="0.15">
      <c r="A958" s="11">
        <v>2115</v>
      </c>
      <c r="B958" s="11" t="s">
        <v>53</v>
      </c>
      <c r="C958" s="11" t="s">
        <v>156</v>
      </c>
      <c r="D958" s="11">
        <v>1</v>
      </c>
      <c r="E958" s="11" t="s">
        <v>4</v>
      </c>
      <c r="F958" s="12">
        <v>20600</v>
      </c>
      <c r="G958" s="12">
        <v>20600</v>
      </c>
      <c r="H958" s="11" t="str">
        <f t="shared" si="34"/>
        <v>平成4年12月5日</v>
      </c>
      <c r="I958" s="22">
        <f t="shared" si="33"/>
        <v>33943</v>
      </c>
      <c r="J958" s="1" t="str">
        <f>"00740623"</f>
        <v>00740623</v>
      </c>
      <c r="K958" s="1" t="str">
        <f>"８３０　　　　　　　　　　　　　　　　　"</f>
        <v>８３０　　　　　　　　　　　　　　　　　</v>
      </c>
      <c r="L958" s="1"/>
    </row>
    <row r="959" spans="1:12" ht="18" customHeight="1" x14ac:dyDescent="0.15">
      <c r="A959" s="11">
        <v>2116</v>
      </c>
      <c r="B959" s="11" t="s">
        <v>53</v>
      </c>
      <c r="C959" s="11" t="s">
        <v>156</v>
      </c>
      <c r="D959" s="11">
        <v>1</v>
      </c>
      <c r="E959" s="11" t="s">
        <v>4</v>
      </c>
      <c r="F959" s="12">
        <v>20600</v>
      </c>
      <c r="G959" s="12">
        <v>20600</v>
      </c>
      <c r="H959" s="11" t="str">
        <f t="shared" si="34"/>
        <v>平成4年12月5日</v>
      </c>
      <c r="I959" s="22">
        <f t="shared" si="33"/>
        <v>33943</v>
      </c>
      <c r="J959" s="1" t="str">
        <f>"00740625"</f>
        <v>00740625</v>
      </c>
      <c r="K959" s="1" t="str">
        <f>"８３１　　　　　　　　　　　　　　　　　"</f>
        <v>８３１　　　　　　　　　　　　　　　　　</v>
      </c>
      <c r="L959" s="1"/>
    </row>
    <row r="960" spans="1:12" ht="18" customHeight="1" x14ac:dyDescent="0.15">
      <c r="A960" s="11">
        <v>2117</v>
      </c>
      <c r="B960" s="11" t="s">
        <v>53</v>
      </c>
      <c r="C960" s="11" t="s">
        <v>156</v>
      </c>
      <c r="D960" s="11">
        <v>1</v>
      </c>
      <c r="E960" s="11" t="s">
        <v>4</v>
      </c>
      <c r="F960" s="12">
        <v>20600</v>
      </c>
      <c r="G960" s="12">
        <v>20600</v>
      </c>
      <c r="H960" s="11" t="str">
        <f t="shared" si="34"/>
        <v>平成4年12月5日</v>
      </c>
      <c r="I960" s="22">
        <f t="shared" si="33"/>
        <v>33943</v>
      </c>
      <c r="J960" s="1" t="str">
        <f>"00740627"</f>
        <v>00740627</v>
      </c>
      <c r="K960" s="1" t="str">
        <f>"８３２　　　　　　　　　　　　　　　　　"</f>
        <v>８３２　　　　　　　　　　　　　　　　　</v>
      </c>
      <c r="L960" s="1"/>
    </row>
    <row r="961" spans="1:12" ht="18" customHeight="1" x14ac:dyDescent="0.15">
      <c r="A961" s="11">
        <v>2118</v>
      </c>
      <c r="B961" s="11" t="s">
        <v>53</v>
      </c>
      <c r="C961" s="11" t="s">
        <v>156</v>
      </c>
      <c r="D961" s="11">
        <v>1</v>
      </c>
      <c r="E961" s="11" t="s">
        <v>4</v>
      </c>
      <c r="F961" s="12">
        <v>20600</v>
      </c>
      <c r="G961" s="12">
        <v>20600</v>
      </c>
      <c r="H961" s="11" t="str">
        <f t="shared" si="34"/>
        <v>平成4年12月5日</v>
      </c>
      <c r="I961" s="22">
        <f t="shared" si="33"/>
        <v>33943</v>
      </c>
      <c r="J961" s="1" t="str">
        <f>"00740629"</f>
        <v>00740629</v>
      </c>
      <c r="K961" s="1" t="str">
        <f>"８３３　　　　　　　　　　　　　　　　　"</f>
        <v>８３３　　　　　　　　　　　　　　　　　</v>
      </c>
      <c r="L961" s="1"/>
    </row>
    <row r="962" spans="1:12" ht="18" customHeight="1" x14ac:dyDescent="0.15">
      <c r="A962" s="11">
        <v>2119</v>
      </c>
      <c r="B962" s="11" t="s">
        <v>53</v>
      </c>
      <c r="C962" s="11" t="s">
        <v>156</v>
      </c>
      <c r="D962" s="11">
        <v>1</v>
      </c>
      <c r="E962" s="11" t="s">
        <v>4</v>
      </c>
      <c r="F962" s="12">
        <v>20600</v>
      </c>
      <c r="G962" s="12">
        <v>20600</v>
      </c>
      <c r="H962" s="11" t="str">
        <f t="shared" si="34"/>
        <v>平成4年12月5日</v>
      </c>
      <c r="I962" s="22">
        <f t="shared" si="33"/>
        <v>33943</v>
      </c>
      <c r="J962" s="1" t="str">
        <f>"00740631"</f>
        <v>00740631</v>
      </c>
      <c r="K962" s="1" t="str">
        <f>"８３４　　　　　　　　　　　　　　　　　"</f>
        <v>８３４　　　　　　　　　　　　　　　　　</v>
      </c>
      <c r="L962" s="1"/>
    </row>
    <row r="963" spans="1:12" ht="18" customHeight="1" x14ac:dyDescent="0.15">
      <c r="A963" s="11">
        <v>2120</v>
      </c>
      <c r="B963" s="11" t="s">
        <v>53</v>
      </c>
      <c r="C963" s="11" t="s">
        <v>156</v>
      </c>
      <c r="D963" s="11">
        <v>1</v>
      </c>
      <c r="E963" s="11" t="s">
        <v>4</v>
      </c>
      <c r="F963" s="12">
        <v>20600</v>
      </c>
      <c r="G963" s="12">
        <v>20600</v>
      </c>
      <c r="H963" s="11" t="str">
        <f t="shared" si="34"/>
        <v>平成4年12月5日</v>
      </c>
      <c r="I963" s="22">
        <f t="shared" si="33"/>
        <v>33943</v>
      </c>
      <c r="J963" s="1" t="str">
        <f>"00740633"</f>
        <v>00740633</v>
      </c>
      <c r="K963" s="1" t="str">
        <f>"８３５　　　　　　　　　　　　　　　　　"</f>
        <v>８３５　　　　　　　　　　　　　　　　　</v>
      </c>
      <c r="L963" s="1"/>
    </row>
    <row r="964" spans="1:12" ht="18" customHeight="1" x14ac:dyDescent="0.15">
      <c r="A964" s="11">
        <v>2121</v>
      </c>
      <c r="B964" s="11" t="s">
        <v>53</v>
      </c>
      <c r="C964" s="11" t="s">
        <v>156</v>
      </c>
      <c r="D964" s="11">
        <v>1</v>
      </c>
      <c r="E964" s="11" t="s">
        <v>4</v>
      </c>
      <c r="F964" s="12">
        <v>20600</v>
      </c>
      <c r="G964" s="12">
        <v>20600</v>
      </c>
      <c r="H964" s="11" t="str">
        <f t="shared" si="34"/>
        <v>平成4年12月5日</v>
      </c>
      <c r="I964" s="22">
        <f t="shared" si="33"/>
        <v>33943</v>
      </c>
      <c r="J964" s="1" t="str">
        <f>"00740635"</f>
        <v>00740635</v>
      </c>
      <c r="K964" s="1" t="str">
        <f>"８３６　　　　　　　　　　　　　　　　　"</f>
        <v>８３６　　　　　　　　　　　　　　　　　</v>
      </c>
      <c r="L964" s="1"/>
    </row>
    <row r="965" spans="1:12" ht="18" customHeight="1" x14ac:dyDescent="0.15">
      <c r="A965" s="11">
        <v>2122</v>
      </c>
      <c r="B965" s="11" t="s">
        <v>53</v>
      </c>
      <c r="C965" s="11" t="s">
        <v>156</v>
      </c>
      <c r="D965" s="11">
        <v>1</v>
      </c>
      <c r="E965" s="11" t="s">
        <v>4</v>
      </c>
      <c r="F965" s="12">
        <v>20600</v>
      </c>
      <c r="G965" s="12">
        <v>20600</v>
      </c>
      <c r="H965" s="11" t="str">
        <f t="shared" si="34"/>
        <v>平成4年12月5日</v>
      </c>
      <c r="I965" s="22">
        <f t="shared" si="33"/>
        <v>33943</v>
      </c>
      <c r="J965" s="1" t="str">
        <f>"00740637"</f>
        <v>00740637</v>
      </c>
      <c r="K965" s="1" t="str">
        <f>"８３７　　　　　　　　　　　　　　　　　"</f>
        <v>８３７　　　　　　　　　　　　　　　　　</v>
      </c>
      <c r="L965" s="1"/>
    </row>
    <row r="966" spans="1:12" ht="18" customHeight="1" x14ac:dyDescent="0.15">
      <c r="A966" s="11">
        <v>2123</v>
      </c>
      <c r="B966" s="11" t="s">
        <v>53</v>
      </c>
      <c r="C966" s="11" t="s">
        <v>156</v>
      </c>
      <c r="D966" s="11">
        <v>1</v>
      </c>
      <c r="E966" s="11" t="s">
        <v>4</v>
      </c>
      <c r="F966" s="12">
        <v>20600</v>
      </c>
      <c r="G966" s="12">
        <v>20600</v>
      </c>
      <c r="H966" s="11" t="str">
        <f t="shared" si="34"/>
        <v>平成4年12月5日</v>
      </c>
      <c r="I966" s="22">
        <f t="shared" si="33"/>
        <v>33943</v>
      </c>
      <c r="J966" s="1" t="str">
        <f>"00740639"</f>
        <v>00740639</v>
      </c>
      <c r="K966" s="1" t="str">
        <f>"８３８　　　　　　　　　　　　　　　　　"</f>
        <v>８３８　　　　　　　　　　　　　　　　　</v>
      </c>
      <c r="L966" s="1"/>
    </row>
    <row r="967" spans="1:12" ht="18" customHeight="1" x14ac:dyDescent="0.15">
      <c r="A967" s="11">
        <v>2124</v>
      </c>
      <c r="B967" s="11" t="s">
        <v>53</v>
      </c>
      <c r="C967" s="11" t="s">
        <v>156</v>
      </c>
      <c r="D967" s="11">
        <v>1</v>
      </c>
      <c r="E967" s="11" t="s">
        <v>4</v>
      </c>
      <c r="F967" s="12">
        <v>20600</v>
      </c>
      <c r="G967" s="12">
        <v>20600</v>
      </c>
      <c r="H967" s="11" t="str">
        <f t="shared" si="34"/>
        <v>平成4年12月5日</v>
      </c>
      <c r="I967" s="22">
        <f t="shared" si="33"/>
        <v>33943</v>
      </c>
      <c r="J967" s="1" t="str">
        <f>"00740641"</f>
        <v>00740641</v>
      </c>
      <c r="K967" s="1" t="str">
        <f>"８３９　　　　　　　　　　　　　　　　　"</f>
        <v>８３９　　　　　　　　　　　　　　　　　</v>
      </c>
      <c r="L967" s="1"/>
    </row>
    <row r="968" spans="1:12" ht="18" customHeight="1" x14ac:dyDescent="0.15">
      <c r="A968" s="11">
        <v>2125</v>
      </c>
      <c r="B968" s="11" t="s">
        <v>53</v>
      </c>
      <c r="C968" s="11" t="s">
        <v>156</v>
      </c>
      <c r="D968" s="11">
        <v>1</v>
      </c>
      <c r="E968" s="11" t="s">
        <v>4</v>
      </c>
      <c r="F968" s="12">
        <v>20600</v>
      </c>
      <c r="G968" s="12">
        <v>20600</v>
      </c>
      <c r="H968" s="11" t="str">
        <f t="shared" si="34"/>
        <v>平成4年12月5日</v>
      </c>
      <c r="I968" s="22">
        <f t="shared" si="33"/>
        <v>33943</v>
      </c>
      <c r="J968" s="1" t="str">
        <f>"00740643"</f>
        <v>00740643</v>
      </c>
      <c r="K968" s="1" t="str">
        <f>"８４０　　　　　　　　　　　　　　　　　"</f>
        <v>８４０　　　　　　　　　　　　　　　　　</v>
      </c>
      <c r="L968" s="1"/>
    </row>
    <row r="969" spans="1:12" ht="18" customHeight="1" x14ac:dyDescent="0.15">
      <c r="A969" s="11">
        <v>2126</v>
      </c>
      <c r="B969" s="11" t="s">
        <v>53</v>
      </c>
      <c r="C969" s="11" t="s">
        <v>156</v>
      </c>
      <c r="D969" s="11">
        <v>1</v>
      </c>
      <c r="E969" s="11" t="s">
        <v>4</v>
      </c>
      <c r="F969" s="12">
        <v>20600</v>
      </c>
      <c r="G969" s="12">
        <v>20600</v>
      </c>
      <c r="H969" s="11" t="str">
        <f t="shared" si="34"/>
        <v>平成4年12月5日</v>
      </c>
      <c r="I969" s="22">
        <f t="shared" si="33"/>
        <v>33943</v>
      </c>
      <c r="J969" s="1" t="str">
        <f>"00740645"</f>
        <v>00740645</v>
      </c>
      <c r="K969" s="1" t="str">
        <f>"８４２　　　　　　　　　　　　　　　　　"</f>
        <v>８４２　　　　　　　　　　　　　　　　　</v>
      </c>
      <c r="L969" s="1"/>
    </row>
    <row r="970" spans="1:12" ht="18" customHeight="1" x14ac:dyDescent="0.15">
      <c r="A970" s="11">
        <v>2127</v>
      </c>
      <c r="B970" s="11" t="s">
        <v>53</v>
      </c>
      <c r="C970" s="11" t="s">
        <v>156</v>
      </c>
      <c r="D970" s="11">
        <v>1</v>
      </c>
      <c r="E970" s="11" t="s">
        <v>4</v>
      </c>
      <c r="F970" s="12">
        <v>20600</v>
      </c>
      <c r="G970" s="12">
        <v>20600</v>
      </c>
      <c r="H970" s="11" t="str">
        <f t="shared" si="34"/>
        <v>平成4年12月5日</v>
      </c>
      <c r="I970" s="22">
        <f t="shared" si="33"/>
        <v>33943</v>
      </c>
      <c r="J970" s="1" t="str">
        <f>"00740647"</f>
        <v>00740647</v>
      </c>
      <c r="K970" s="1" t="str">
        <f>"８４３　　　　　　　　　　　　　　　　　"</f>
        <v>８４３　　　　　　　　　　　　　　　　　</v>
      </c>
      <c r="L970" s="1"/>
    </row>
    <row r="971" spans="1:12" ht="18" customHeight="1" x14ac:dyDescent="0.15">
      <c r="A971" s="11">
        <v>2128</v>
      </c>
      <c r="B971" s="11" t="s">
        <v>53</v>
      </c>
      <c r="C971" s="11" t="s">
        <v>156</v>
      </c>
      <c r="D971" s="11">
        <v>1</v>
      </c>
      <c r="E971" s="11" t="s">
        <v>4</v>
      </c>
      <c r="F971" s="12">
        <v>20600</v>
      </c>
      <c r="G971" s="12">
        <v>20600</v>
      </c>
      <c r="H971" s="11" t="str">
        <f t="shared" si="34"/>
        <v>平成4年12月5日</v>
      </c>
      <c r="I971" s="22">
        <f t="shared" si="33"/>
        <v>33943</v>
      </c>
      <c r="J971" s="1" t="str">
        <f>"00740649"</f>
        <v>00740649</v>
      </c>
      <c r="K971" s="1" t="str">
        <f>"８４４　　　　　　　　　　　　　　　　　"</f>
        <v>８４４　　　　　　　　　　　　　　　　　</v>
      </c>
      <c r="L971" s="1"/>
    </row>
    <row r="972" spans="1:12" ht="18" customHeight="1" x14ac:dyDescent="0.15">
      <c r="A972" s="11">
        <v>2129</v>
      </c>
      <c r="B972" s="11" t="s">
        <v>53</v>
      </c>
      <c r="C972" s="11" t="s">
        <v>156</v>
      </c>
      <c r="D972" s="11">
        <v>1</v>
      </c>
      <c r="E972" s="11" t="s">
        <v>4</v>
      </c>
      <c r="F972" s="12">
        <v>20600</v>
      </c>
      <c r="G972" s="12">
        <v>20600</v>
      </c>
      <c r="H972" s="11" t="str">
        <f t="shared" si="34"/>
        <v>平成4年12月5日</v>
      </c>
      <c r="I972" s="22">
        <f t="shared" si="33"/>
        <v>33943</v>
      </c>
      <c r="J972" s="1" t="str">
        <f>"00740651"</f>
        <v>00740651</v>
      </c>
      <c r="K972" s="1" t="str">
        <f>"８４５　　　　　　　　　　　　　　　　　"</f>
        <v>８４５　　　　　　　　　　　　　　　　　</v>
      </c>
      <c r="L972" s="1"/>
    </row>
    <row r="973" spans="1:12" ht="18" customHeight="1" x14ac:dyDescent="0.15">
      <c r="A973" s="11">
        <v>2130</v>
      </c>
      <c r="B973" s="11" t="s">
        <v>53</v>
      </c>
      <c r="C973" s="11" t="s">
        <v>156</v>
      </c>
      <c r="D973" s="11">
        <v>1</v>
      </c>
      <c r="E973" s="11" t="s">
        <v>4</v>
      </c>
      <c r="F973" s="12">
        <v>20600</v>
      </c>
      <c r="G973" s="12">
        <v>20600</v>
      </c>
      <c r="H973" s="11" t="str">
        <f t="shared" si="34"/>
        <v>平成4年12月5日</v>
      </c>
      <c r="I973" s="22">
        <f t="shared" si="33"/>
        <v>33943</v>
      </c>
      <c r="J973" s="1" t="str">
        <f>"00740653"</f>
        <v>00740653</v>
      </c>
      <c r="K973" s="1" t="str">
        <f>"８４６　　　　　　　　　　　　　　　　　"</f>
        <v>８４６　　　　　　　　　　　　　　　　　</v>
      </c>
      <c r="L973" s="1"/>
    </row>
    <row r="974" spans="1:12" ht="18" customHeight="1" x14ac:dyDescent="0.15">
      <c r="A974" s="11">
        <v>2131</v>
      </c>
      <c r="B974" s="11" t="s">
        <v>53</v>
      </c>
      <c r="C974" s="11" t="s">
        <v>156</v>
      </c>
      <c r="D974" s="11">
        <v>1</v>
      </c>
      <c r="E974" s="11" t="s">
        <v>4</v>
      </c>
      <c r="F974" s="12">
        <v>20600</v>
      </c>
      <c r="G974" s="12">
        <v>20600</v>
      </c>
      <c r="H974" s="11" t="str">
        <f t="shared" si="34"/>
        <v>平成4年12月5日</v>
      </c>
      <c r="I974" s="22">
        <f t="shared" si="33"/>
        <v>33943</v>
      </c>
      <c r="J974" s="1" t="str">
        <f>"00740655"</f>
        <v>00740655</v>
      </c>
      <c r="K974" s="1" t="str">
        <f>"８４７　　　　　　　　　　　　　　　　　"</f>
        <v>８４７　　　　　　　　　　　　　　　　　</v>
      </c>
      <c r="L974" s="1"/>
    </row>
    <row r="975" spans="1:12" ht="18" customHeight="1" x14ac:dyDescent="0.15">
      <c r="A975" s="11">
        <v>2132</v>
      </c>
      <c r="B975" s="11" t="s">
        <v>53</v>
      </c>
      <c r="C975" s="11" t="s">
        <v>156</v>
      </c>
      <c r="D975" s="11">
        <v>1</v>
      </c>
      <c r="E975" s="11" t="s">
        <v>4</v>
      </c>
      <c r="F975" s="12">
        <v>20600</v>
      </c>
      <c r="G975" s="12">
        <v>20600</v>
      </c>
      <c r="H975" s="11" t="str">
        <f t="shared" si="34"/>
        <v>平成4年12月5日</v>
      </c>
      <c r="I975" s="22">
        <f t="shared" si="33"/>
        <v>33943</v>
      </c>
      <c r="J975" s="1" t="str">
        <f>"00740657"</f>
        <v>00740657</v>
      </c>
      <c r="K975" s="1" t="str">
        <f>"８４９　　　　　　　　　　　　　　　　　"</f>
        <v>８４９　　　　　　　　　　　　　　　　　</v>
      </c>
      <c r="L975" s="1"/>
    </row>
    <row r="976" spans="1:12" ht="18" customHeight="1" x14ac:dyDescent="0.15">
      <c r="A976" s="11">
        <v>2133</v>
      </c>
      <c r="B976" s="11" t="s">
        <v>53</v>
      </c>
      <c r="C976" s="11" t="s">
        <v>156</v>
      </c>
      <c r="D976" s="11">
        <v>1</v>
      </c>
      <c r="E976" s="11" t="s">
        <v>4</v>
      </c>
      <c r="F976" s="12">
        <v>20600</v>
      </c>
      <c r="G976" s="12">
        <v>20600</v>
      </c>
      <c r="H976" s="11" t="str">
        <f t="shared" si="34"/>
        <v>平成4年12月5日</v>
      </c>
      <c r="I976" s="22">
        <f t="shared" si="33"/>
        <v>33943</v>
      </c>
      <c r="J976" s="1" t="str">
        <f>"00740659"</f>
        <v>00740659</v>
      </c>
      <c r="K976" s="1" t="str">
        <f>"８５０　　　　　　　　　　　　　　　　　"</f>
        <v>８５０　　　　　　　　　　　　　　　　　</v>
      </c>
      <c r="L976" s="1"/>
    </row>
    <row r="977" spans="1:12" ht="18" customHeight="1" x14ac:dyDescent="0.15">
      <c r="A977" s="11">
        <v>2134</v>
      </c>
      <c r="B977" s="11" t="s">
        <v>53</v>
      </c>
      <c r="C977" s="11" t="s">
        <v>156</v>
      </c>
      <c r="D977" s="11">
        <v>1</v>
      </c>
      <c r="E977" s="11" t="s">
        <v>4</v>
      </c>
      <c r="F977" s="12">
        <v>20600</v>
      </c>
      <c r="G977" s="12">
        <v>20600</v>
      </c>
      <c r="H977" s="11" t="str">
        <f t="shared" si="34"/>
        <v>平成4年12月5日</v>
      </c>
      <c r="I977" s="22">
        <f t="shared" si="33"/>
        <v>33943</v>
      </c>
      <c r="J977" s="1" t="str">
        <f>"00740661"</f>
        <v>00740661</v>
      </c>
      <c r="K977" s="1" t="str">
        <f>"８５１　　　　　　　　　　　　　　　　　"</f>
        <v>８５１　　　　　　　　　　　　　　　　　</v>
      </c>
      <c r="L977" s="1"/>
    </row>
    <row r="978" spans="1:12" ht="18" customHeight="1" x14ac:dyDescent="0.15">
      <c r="A978" s="11">
        <v>2135</v>
      </c>
      <c r="B978" s="11" t="s">
        <v>53</v>
      </c>
      <c r="C978" s="11" t="s">
        <v>156</v>
      </c>
      <c r="D978" s="11">
        <v>1</v>
      </c>
      <c r="E978" s="11" t="s">
        <v>4</v>
      </c>
      <c r="F978" s="12">
        <v>20600</v>
      </c>
      <c r="G978" s="12">
        <v>20600</v>
      </c>
      <c r="H978" s="11" t="str">
        <f t="shared" si="34"/>
        <v>平成4年12月5日</v>
      </c>
      <c r="I978" s="22">
        <f t="shared" ref="I978:I1041" si="35">DATEVALUE(H978)</f>
        <v>33943</v>
      </c>
      <c r="J978" s="1" t="str">
        <f>"00740663"</f>
        <v>00740663</v>
      </c>
      <c r="K978" s="1" t="str">
        <f>"８５２　　　　　　　　　　　　　　　　　"</f>
        <v>８５２　　　　　　　　　　　　　　　　　</v>
      </c>
      <c r="L978" s="1"/>
    </row>
    <row r="979" spans="1:12" ht="18" customHeight="1" x14ac:dyDescent="0.15">
      <c r="A979" s="11">
        <v>2136</v>
      </c>
      <c r="B979" s="11" t="s">
        <v>53</v>
      </c>
      <c r="C979" s="11" t="s">
        <v>156</v>
      </c>
      <c r="D979" s="11">
        <v>1</v>
      </c>
      <c r="E979" s="11" t="s">
        <v>4</v>
      </c>
      <c r="F979" s="12">
        <v>20600</v>
      </c>
      <c r="G979" s="12">
        <v>20600</v>
      </c>
      <c r="H979" s="11" t="str">
        <f t="shared" si="34"/>
        <v>平成4年12月5日</v>
      </c>
      <c r="I979" s="22">
        <f t="shared" si="35"/>
        <v>33943</v>
      </c>
      <c r="J979" s="1" t="str">
        <f>"00740665"</f>
        <v>00740665</v>
      </c>
      <c r="K979" s="1" t="str">
        <f>"８５３　　　　　　　　　　　　　　　　　"</f>
        <v>８５３　　　　　　　　　　　　　　　　　</v>
      </c>
      <c r="L979" s="1"/>
    </row>
    <row r="980" spans="1:12" ht="18" customHeight="1" x14ac:dyDescent="0.15">
      <c r="A980" s="11">
        <v>2137</v>
      </c>
      <c r="B980" s="11" t="s">
        <v>53</v>
      </c>
      <c r="C980" s="11" t="s">
        <v>156</v>
      </c>
      <c r="D980" s="11">
        <v>1</v>
      </c>
      <c r="E980" s="11" t="s">
        <v>4</v>
      </c>
      <c r="F980" s="12">
        <v>20600</v>
      </c>
      <c r="G980" s="12">
        <v>20600</v>
      </c>
      <c r="H980" s="11" t="str">
        <f t="shared" si="34"/>
        <v>平成4年12月5日</v>
      </c>
      <c r="I980" s="22">
        <f t="shared" si="35"/>
        <v>33943</v>
      </c>
      <c r="J980" s="1" t="str">
        <f>"00740667"</f>
        <v>00740667</v>
      </c>
      <c r="K980" s="1" t="str">
        <f>"８５４　　　　　　　　　　　　　　　　　"</f>
        <v>８５４　　　　　　　　　　　　　　　　　</v>
      </c>
      <c r="L980" s="1"/>
    </row>
    <row r="981" spans="1:12" ht="18" customHeight="1" x14ac:dyDescent="0.15">
      <c r="A981" s="11">
        <v>2138</v>
      </c>
      <c r="B981" s="11" t="s">
        <v>53</v>
      </c>
      <c r="C981" s="11" t="s">
        <v>156</v>
      </c>
      <c r="D981" s="11">
        <v>1</v>
      </c>
      <c r="E981" s="11" t="s">
        <v>4</v>
      </c>
      <c r="F981" s="12">
        <v>20600</v>
      </c>
      <c r="G981" s="12">
        <v>20600</v>
      </c>
      <c r="H981" s="11" t="str">
        <f t="shared" si="34"/>
        <v>平成4年12月5日</v>
      </c>
      <c r="I981" s="22">
        <f t="shared" si="35"/>
        <v>33943</v>
      </c>
      <c r="J981" s="1" t="str">
        <f>"00740669"</f>
        <v>00740669</v>
      </c>
      <c r="K981" s="1" t="str">
        <f>"８５５　　　　　　　　　　　　　　　　　"</f>
        <v>８５５　　　　　　　　　　　　　　　　　</v>
      </c>
      <c r="L981" s="1"/>
    </row>
    <row r="982" spans="1:12" ht="18" customHeight="1" x14ac:dyDescent="0.15">
      <c r="A982" s="11">
        <v>2139</v>
      </c>
      <c r="B982" s="11" t="s">
        <v>53</v>
      </c>
      <c r="C982" s="11" t="s">
        <v>156</v>
      </c>
      <c r="D982" s="11">
        <v>1</v>
      </c>
      <c r="E982" s="11" t="s">
        <v>4</v>
      </c>
      <c r="F982" s="12">
        <v>20600</v>
      </c>
      <c r="G982" s="12">
        <v>20600</v>
      </c>
      <c r="H982" s="11" t="str">
        <f t="shared" si="34"/>
        <v>平成4年12月5日</v>
      </c>
      <c r="I982" s="22">
        <f t="shared" si="35"/>
        <v>33943</v>
      </c>
      <c r="J982" s="1" t="str">
        <f>"00740671"</f>
        <v>00740671</v>
      </c>
      <c r="K982" s="1" t="str">
        <f>"８５６　　　　　　　　　　　　　　　　　"</f>
        <v>８５６　　　　　　　　　　　　　　　　　</v>
      </c>
      <c r="L982" s="1"/>
    </row>
    <row r="983" spans="1:12" ht="18" customHeight="1" x14ac:dyDescent="0.15">
      <c r="A983" s="11">
        <v>2140</v>
      </c>
      <c r="B983" s="11" t="s">
        <v>53</v>
      </c>
      <c r="C983" s="11" t="s">
        <v>156</v>
      </c>
      <c r="D983" s="11">
        <v>1</v>
      </c>
      <c r="E983" s="11" t="s">
        <v>4</v>
      </c>
      <c r="F983" s="12">
        <v>20600</v>
      </c>
      <c r="G983" s="12">
        <v>20600</v>
      </c>
      <c r="H983" s="11" t="str">
        <f t="shared" si="34"/>
        <v>平成4年12月5日</v>
      </c>
      <c r="I983" s="22">
        <f t="shared" si="35"/>
        <v>33943</v>
      </c>
      <c r="J983" s="1" t="str">
        <f>"00740673"</f>
        <v>00740673</v>
      </c>
      <c r="K983" s="1" t="str">
        <f>"８５７　　　　　　　　　　　　　　　　　"</f>
        <v>８５７　　　　　　　　　　　　　　　　　</v>
      </c>
      <c r="L983" s="1"/>
    </row>
    <row r="984" spans="1:12" ht="18" customHeight="1" x14ac:dyDescent="0.15">
      <c r="A984" s="11">
        <v>2141</v>
      </c>
      <c r="B984" s="11" t="s">
        <v>53</v>
      </c>
      <c r="C984" s="11" t="s">
        <v>156</v>
      </c>
      <c r="D984" s="11">
        <v>1</v>
      </c>
      <c r="E984" s="11" t="s">
        <v>4</v>
      </c>
      <c r="F984" s="12">
        <v>20600</v>
      </c>
      <c r="G984" s="12">
        <v>20600</v>
      </c>
      <c r="H984" s="11" t="str">
        <f t="shared" si="34"/>
        <v>平成4年12月5日</v>
      </c>
      <c r="I984" s="22">
        <f t="shared" si="35"/>
        <v>33943</v>
      </c>
      <c r="J984" s="1" t="str">
        <f>"00740675"</f>
        <v>00740675</v>
      </c>
      <c r="K984" s="1" t="str">
        <f>"８５８　　　　　　　　　　　　　　　　　"</f>
        <v>８５８　　　　　　　　　　　　　　　　　</v>
      </c>
      <c r="L984" s="1"/>
    </row>
    <row r="985" spans="1:12" ht="18" customHeight="1" x14ac:dyDescent="0.15">
      <c r="A985" s="11">
        <v>2142</v>
      </c>
      <c r="B985" s="11" t="s">
        <v>53</v>
      </c>
      <c r="C985" s="11" t="s">
        <v>156</v>
      </c>
      <c r="D985" s="11">
        <v>1</v>
      </c>
      <c r="E985" s="11" t="s">
        <v>4</v>
      </c>
      <c r="F985" s="12">
        <v>20600</v>
      </c>
      <c r="G985" s="12">
        <v>20600</v>
      </c>
      <c r="H985" s="11" t="str">
        <f t="shared" si="34"/>
        <v>平成4年12月5日</v>
      </c>
      <c r="I985" s="22">
        <f t="shared" si="35"/>
        <v>33943</v>
      </c>
      <c r="J985" s="1" t="str">
        <f>"00740677"</f>
        <v>00740677</v>
      </c>
      <c r="K985" s="1" t="str">
        <f>"８５９　　　　　　　　　　　　　　　　　"</f>
        <v>８５９　　　　　　　　　　　　　　　　　</v>
      </c>
      <c r="L985" s="1"/>
    </row>
    <row r="986" spans="1:12" ht="18" customHeight="1" x14ac:dyDescent="0.15">
      <c r="A986" s="11">
        <v>2143</v>
      </c>
      <c r="B986" s="11" t="s">
        <v>53</v>
      </c>
      <c r="C986" s="11" t="s">
        <v>156</v>
      </c>
      <c r="D986" s="11">
        <v>1</v>
      </c>
      <c r="E986" s="11" t="s">
        <v>4</v>
      </c>
      <c r="F986" s="12">
        <v>20600</v>
      </c>
      <c r="G986" s="12">
        <v>20600</v>
      </c>
      <c r="H986" s="11" t="str">
        <f t="shared" si="34"/>
        <v>平成4年12月5日</v>
      </c>
      <c r="I986" s="22">
        <f t="shared" si="35"/>
        <v>33943</v>
      </c>
      <c r="J986" s="1" t="str">
        <f>"00740679"</f>
        <v>00740679</v>
      </c>
      <c r="K986" s="1" t="str">
        <f>"８６０　　　　　　　　　　　　　　　　　"</f>
        <v>８６０　　　　　　　　　　　　　　　　　</v>
      </c>
      <c r="L986" s="1"/>
    </row>
    <row r="987" spans="1:12" ht="18" customHeight="1" x14ac:dyDescent="0.15">
      <c r="A987" s="11">
        <v>2144</v>
      </c>
      <c r="B987" s="11" t="s">
        <v>53</v>
      </c>
      <c r="C987" s="11" t="s">
        <v>156</v>
      </c>
      <c r="D987" s="11">
        <v>1</v>
      </c>
      <c r="E987" s="11" t="s">
        <v>4</v>
      </c>
      <c r="F987" s="12">
        <v>20600</v>
      </c>
      <c r="G987" s="12">
        <v>20600</v>
      </c>
      <c r="H987" s="11" t="str">
        <f t="shared" si="34"/>
        <v>平成4年12月5日</v>
      </c>
      <c r="I987" s="22">
        <f t="shared" si="35"/>
        <v>33943</v>
      </c>
      <c r="J987" s="1" t="str">
        <f>"00740681"</f>
        <v>00740681</v>
      </c>
      <c r="K987" s="1" t="str">
        <f>"８６１　　　　　　　　　　　　　　　　　"</f>
        <v>８６１　　　　　　　　　　　　　　　　　</v>
      </c>
      <c r="L987" s="1"/>
    </row>
    <row r="988" spans="1:12" ht="18" customHeight="1" x14ac:dyDescent="0.15">
      <c r="A988" s="11">
        <v>2145</v>
      </c>
      <c r="B988" s="11" t="s">
        <v>53</v>
      </c>
      <c r="C988" s="11" t="s">
        <v>156</v>
      </c>
      <c r="D988" s="11">
        <v>1</v>
      </c>
      <c r="E988" s="11" t="s">
        <v>4</v>
      </c>
      <c r="F988" s="12">
        <v>20600</v>
      </c>
      <c r="G988" s="12">
        <v>20600</v>
      </c>
      <c r="H988" s="11" t="str">
        <f t="shared" si="34"/>
        <v>平成4年12月5日</v>
      </c>
      <c r="I988" s="22">
        <f t="shared" si="35"/>
        <v>33943</v>
      </c>
      <c r="J988" s="1" t="str">
        <f>"00740683"</f>
        <v>00740683</v>
      </c>
      <c r="K988" s="1" t="str">
        <f>"８６２　　　　　　　　　　　　　　　　　"</f>
        <v>８６２　　　　　　　　　　　　　　　　　</v>
      </c>
      <c r="L988" s="1"/>
    </row>
    <row r="989" spans="1:12" ht="18" customHeight="1" x14ac:dyDescent="0.15">
      <c r="A989" s="11">
        <v>2146</v>
      </c>
      <c r="B989" s="11" t="s">
        <v>53</v>
      </c>
      <c r="C989" s="11" t="s">
        <v>156</v>
      </c>
      <c r="D989" s="11">
        <v>1</v>
      </c>
      <c r="E989" s="11" t="s">
        <v>4</v>
      </c>
      <c r="F989" s="12">
        <v>20600</v>
      </c>
      <c r="G989" s="12">
        <v>20600</v>
      </c>
      <c r="H989" s="11" t="str">
        <f t="shared" si="34"/>
        <v>平成4年12月5日</v>
      </c>
      <c r="I989" s="22">
        <f t="shared" si="35"/>
        <v>33943</v>
      </c>
      <c r="J989" s="1" t="str">
        <f>"00740685"</f>
        <v>00740685</v>
      </c>
      <c r="K989" s="1" t="str">
        <f>"８６３　　　　　　　　　　　　　　　　　"</f>
        <v>８６３　　　　　　　　　　　　　　　　　</v>
      </c>
      <c r="L989" s="1"/>
    </row>
    <row r="990" spans="1:12" ht="18" customHeight="1" x14ac:dyDescent="0.15">
      <c r="A990" s="11">
        <v>2147</v>
      </c>
      <c r="B990" s="11" t="s">
        <v>53</v>
      </c>
      <c r="C990" s="11" t="s">
        <v>156</v>
      </c>
      <c r="D990" s="11">
        <v>1</v>
      </c>
      <c r="E990" s="11" t="s">
        <v>4</v>
      </c>
      <c r="F990" s="12">
        <v>20600</v>
      </c>
      <c r="G990" s="12">
        <v>20600</v>
      </c>
      <c r="H990" s="11" t="str">
        <f t="shared" si="34"/>
        <v>平成4年12月5日</v>
      </c>
      <c r="I990" s="22">
        <f t="shared" si="35"/>
        <v>33943</v>
      </c>
      <c r="J990" s="1" t="str">
        <f>"00740687"</f>
        <v>00740687</v>
      </c>
      <c r="K990" s="1" t="str">
        <f>"８６４　　　　　　　　　　　　　　　　　"</f>
        <v>８６４　　　　　　　　　　　　　　　　　</v>
      </c>
      <c r="L990" s="1"/>
    </row>
    <row r="991" spans="1:12" ht="18" customHeight="1" x14ac:dyDescent="0.15">
      <c r="A991" s="11">
        <v>2148</v>
      </c>
      <c r="B991" s="11" t="s">
        <v>53</v>
      </c>
      <c r="C991" s="11" t="s">
        <v>156</v>
      </c>
      <c r="D991" s="11">
        <v>1</v>
      </c>
      <c r="E991" s="11" t="s">
        <v>4</v>
      </c>
      <c r="F991" s="12">
        <v>20600</v>
      </c>
      <c r="G991" s="12">
        <v>20600</v>
      </c>
      <c r="H991" s="11" t="str">
        <f t="shared" si="34"/>
        <v>平成4年12月5日</v>
      </c>
      <c r="I991" s="22">
        <f t="shared" si="35"/>
        <v>33943</v>
      </c>
      <c r="J991" s="1" t="str">
        <f>"00740689"</f>
        <v>00740689</v>
      </c>
      <c r="K991" s="1" t="str">
        <f>"８６５　　　　　　　　　　　　　　　　　"</f>
        <v>８６５　　　　　　　　　　　　　　　　　</v>
      </c>
      <c r="L991" s="1"/>
    </row>
    <row r="992" spans="1:12" ht="18" customHeight="1" x14ac:dyDescent="0.15">
      <c r="A992" s="11">
        <v>2149</v>
      </c>
      <c r="B992" s="11" t="s">
        <v>53</v>
      </c>
      <c r="C992" s="11" t="s">
        <v>156</v>
      </c>
      <c r="D992" s="11">
        <v>1</v>
      </c>
      <c r="E992" s="11" t="s">
        <v>4</v>
      </c>
      <c r="F992" s="12">
        <v>20600</v>
      </c>
      <c r="G992" s="12">
        <v>20600</v>
      </c>
      <c r="H992" s="11" t="str">
        <f t="shared" si="34"/>
        <v>平成4年12月5日</v>
      </c>
      <c r="I992" s="22">
        <f t="shared" si="35"/>
        <v>33943</v>
      </c>
      <c r="J992" s="1" t="str">
        <f>"00740691"</f>
        <v>00740691</v>
      </c>
      <c r="K992" s="1" t="str">
        <f>"８６６　　　　　　　　　　　　　　　　　"</f>
        <v>８６６　　　　　　　　　　　　　　　　　</v>
      </c>
      <c r="L992" s="1"/>
    </row>
    <row r="993" spans="1:12" ht="18" customHeight="1" x14ac:dyDescent="0.15">
      <c r="A993" s="11">
        <v>2150</v>
      </c>
      <c r="B993" s="11" t="s">
        <v>53</v>
      </c>
      <c r="C993" s="11" t="s">
        <v>156</v>
      </c>
      <c r="D993" s="11">
        <v>1</v>
      </c>
      <c r="E993" s="11" t="s">
        <v>4</v>
      </c>
      <c r="F993" s="12">
        <v>20600</v>
      </c>
      <c r="G993" s="12">
        <v>20600</v>
      </c>
      <c r="H993" s="11" t="str">
        <f t="shared" si="34"/>
        <v>平成4年12月5日</v>
      </c>
      <c r="I993" s="22">
        <f t="shared" si="35"/>
        <v>33943</v>
      </c>
      <c r="J993" s="1" t="str">
        <f>"00740693"</f>
        <v>00740693</v>
      </c>
      <c r="K993" s="1" t="str">
        <f>"８６７　　　　　　　　　　　　　　　　　"</f>
        <v>８６７　　　　　　　　　　　　　　　　　</v>
      </c>
      <c r="L993" s="1"/>
    </row>
    <row r="994" spans="1:12" ht="18" customHeight="1" x14ac:dyDescent="0.15">
      <c r="A994" s="11">
        <v>2151</v>
      </c>
      <c r="B994" s="11" t="s">
        <v>53</v>
      </c>
      <c r="C994" s="11" t="s">
        <v>156</v>
      </c>
      <c r="D994" s="11">
        <v>1</v>
      </c>
      <c r="E994" s="11" t="s">
        <v>4</v>
      </c>
      <c r="F994" s="12">
        <v>20600</v>
      </c>
      <c r="G994" s="12">
        <v>20600</v>
      </c>
      <c r="H994" s="11" t="str">
        <f t="shared" si="34"/>
        <v>平成4年12月5日</v>
      </c>
      <c r="I994" s="22">
        <f t="shared" si="35"/>
        <v>33943</v>
      </c>
      <c r="J994" s="1" t="str">
        <f>"00740695"</f>
        <v>00740695</v>
      </c>
      <c r="K994" s="1" t="str">
        <f>"８６８　　　　　　　　　　　　　　　　　"</f>
        <v>８６８　　　　　　　　　　　　　　　　　</v>
      </c>
      <c r="L994" s="1"/>
    </row>
    <row r="995" spans="1:12" ht="18" customHeight="1" x14ac:dyDescent="0.15">
      <c r="A995" s="11">
        <v>2152</v>
      </c>
      <c r="B995" s="11" t="s">
        <v>53</v>
      </c>
      <c r="C995" s="11" t="s">
        <v>156</v>
      </c>
      <c r="D995" s="11">
        <v>1</v>
      </c>
      <c r="E995" s="11" t="s">
        <v>4</v>
      </c>
      <c r="F995" s="12">
        <v>20600</v>
      </c>
      <c r="G995" s="12">
        <v>20600</v>
      </c>
      <c r="H995" s="11" t="str">
        <f t="shared" si="34"/>
        <v>平成4年12月5日</v>
      </c>
      <c r="I995" s="22">
        <f t="shared" si="35"/>
        <v>33943</v>
      </c>
      <c r="J995" s="1" t="str">
        <f>"00740697"</f>
        <v>00740697</v>
      </c>
      <c r="K995" s="1" t="str">
        <f>"８６９　　　　　　　　　　　　　　　　　"</f>
        <v>８６９　　　　　　　　　　　　　　　　　</v>
      </c>
      <c r="L995" s="1"/>
    </row>
    <row r="996" spans="1:12" ht="18" customHeight="1" x14ac:dyDescent="0.15">
      <c r="A996" s="11">
        <v>2153</v>
      </c>
      <c r="B996" s="11" t="s">
        <v>53</v>
      </c>
      <c r="C996" s="11" t="s">
        <v>156</v>
      </c>
      <c r="D996" s="11">
        <v>1</v>
      </c>
      <c r="E996" s="11" t="s">
        <v>4</v>
      </c>
      <c r="F996" s="12">
        <v>20600</v>
      </c>
      <c r="G996" s="12">
        <v>20600</v>
      </c>
      <c r="H996" s="11" t="str">
        <f t="shared" si="34"/>
        <v>平成4年12月5日</v>
      </c>
      <c r="I996" s="22">
        <f t="shared" si="35"/>
        <v>33943</v>
      </c>
      <c r="J996" s="1" t="str">
        <f>"00740699"</f>
        <v>00740699</v>
      </c>
      <c r="K996" s="1" t="str">
        <f>"８７０　　　　　　　　　　　　　　　　　"</f>
        <v>８７０　　　　　　　　　　　　　　　　　</v>
      </c>
      <c r="L996" s="1"/>
    </row>
    <row r="997" spans="1:12" ht="18" customHeight="1" x14ac:dyDescent="0.15">
      <c r="A997" s="11">
        <v>2154</v>
      </c>
      <c r="B997" s="11" t="s">
        <v>53</v>
      </c>
      <c r="C997" s="11" t="s">
        <v>156</v>
      </c>
      <c r="D997" s="11">
        <v>1</v>
      </c>
      <c r="E997" s="11" t="s">
        <v>4</v>
      </c>
      <c r="F997" s="12">
        <v>20600</v>
      </c>
      <c r="G997" s="12">
        <v>20600</v>
      </c>
      <c r="H997" s="11" t="str">
        <f t="shared" si="34"/>
        <v>平成4年12月5日</v>
      </c>
      <c r="I997" s="22">
        <f t="shared" si="35"/>
        <v>33943</v>
      </c>
      <c r="J997" s="1" t="str">
        <f>"00740701"</f>
        <v>00740701</v>
      </c>
      <c r="K997" s="1" t="str">
        <f>"８７１　　　　　　　　　　　　　　　　　"</f>
        <v>８７１　　　　　　　　　　　　　　　　　</v>
      </c>
      <c r="L997" s="1"/>
    </row>
    <row r="998" spans="1:12" ht="18" customHeight="1" x14ac:dyDescent="0.15">
      <c r="A998" s="11">
        <v>2155</v>
      </c>
      <c r="B998" s="11" t="s">
        <v>53</v>
      </c>
      <c r="C998" s="11" t="s">
        <v>156</v>
      </c>
      <c r="D998" s="11">
        <v>1</v>
      </c>
      <c r="E998" s="11" t="s">
        <v>4</v>
      </c>
      <c r="F998" s="12">
        <v>20600</v>
      </c>
      <c r="G998" s="12">
        <v>20600</v>
      </c>
      <c r="H998" s="11" t="str">
        <f t="shared" si="34"/>
        <v>平成4年12月5日</v>
      </c>
      <c r="I998" s="22">
        <f t="shared" si="35"/>
        <v>33943</v>
      </c>
      <c r="J998" s="1" t="str">
        <f>"00740703"</f>
        <v>00740703</v>
      </c>
      <c r="K998" s="1" t="str">
        <f>"８７２　　　　　　　　　　　　　　　　　"</f>
        <v>８７２　　　　　　　　　　　　　　　　　</v>
      </c>
      <c r="L998" s="1"/>
    </row>
    <row r="999" spans="1:12" ht="18" customHeight="1" x14ac:dyDescent="0.15">
      <c r="A999" s="11">
        <v>2156</v>
      </c>
      <c r="B999" s="11" t="s">
        <v>53</v>
      </c>
      <c r="C999" s="11" t="s">
        <v>156</v>
      </c>
      <c r="D999" s="11">
        <v>1</v>
      </c>
      <c r="E999" s="11" t="s">
        <v>4</v>
      </c>
      <c r="F999" s="12">
        <v>20600</v>
      </c>
      <c r="G999" s="12">
        <v>20600</v>
      </c>
      <c r="H999" s="11" t="str">
        <f t="shared" si="34"/>
        <v>平成4年12月5日</v>
      </c>
      <c r="I999" s="22">
        <f t="shared" si="35"/>
        <v>33943</v>
      </c>
      <c r="J999" s="1" t="str">
        <f>"00740705"</f>
        <v>00740705</v>
      </c>
      <c r="K999" s="1" t="str">
        <f>"８７３　　　　　　　　　　　　　　　　　"</f>
        <v>８７３　　　　　　　　　　　　　　　　　</v>
      </c>
      <c r="L999" s="1"/>
    </row>
    <row r="1000" spans="1:12" ht="18" customHeight="1" x14ac:dyDescent="0.15">
      <c r="A1000" s="11">
        <v>2157</v>
      </c>
      <c r="B1000" s="11" t="s">
        <v>53</v>
      </c>
      <c r="C1000" s="11" t="s">
        <v>156</v>
      </c>
      <c r="D1000" s="11">
        <v>1</v>
      </c>
      <c r="E1000" s="11" t="s">
        <v>4</v>
      </c>
      <c r="F1000" s="12">
        <v>20600</v>
      </c>
      <c r="G1000" s="12">
        <v>20600</v>
      </c>
      <c r="H1000" s="11" t="str">
        <f t="shared" si="34"/>
        <v>平成4年12月5日</v>
      </c>
      <c r="I1000" s="22">
        <f t="shared" si="35"/>
        <v>33943</v>
      </c>
      <c r="J1000" s="1" t="str">
        <f>"00740707"</f>
        <v>00740707</v>
      </c>
      <c r="K1000" s="1" t="str">
        <f>"８７４　　　　　　　　　　　　　　　　　"</f>
        <v>８７４　　　　　　　　　　　　　　　　　</v>
      </c>
      <c r="L1000" s="1"/>
    </row>
    <row r="1001" spans="1:12" ht="18" customHeight="1" x14ac:dyDescent="0.15">
      <c r="A1001" s="11">
        <v>2158</v>
      </c>
      <c r="B1001" s="11" t="s">
        <v>53</v>
      </c>
      <c r="C1001" s="11" t="s">
        <v>156</v>
      </c>
      <c r="D1001" s="11">
        <v>1</v>
      </c>
      <c r="E1001" s="11" t="s">
        <v>4</v>
      </c>
      <c r="F1001" s="12">
        <v>20600</v>
      </c>
      <c r="G1001" s="12">
        <v>20600</v>
      </c>
      <c r="H1001" s="11" t="str">
        <f t="shared" si="34"/>
        <v>平成4年12月5日</v>
      </c>
      <c r="I1001" s="22">
        <f t="shared" si="35"/>
        <v>33943</v>
      </c>
      <c r="J1001" s="1" t="str">
        <f>"00740709"</f>
        <v>00740709</v>
      </c>
      <c r="K1001" s="1" t="str">
        <f>"８７５　　　　　　　　　　　　　　　　　"</f>
        <v>８７５　　　　　　　　　　　　　　　　　</v>
      </c>
      <c r="L1001" s="1"/>
    </row>
    <row r="1002" spans="1:12" ht="18" customHeight="1" x14ac:dyDescent="0.15">
      <c r="A1002" s="11">
        <v>2159</v>
      </c>
      <c r="B1002" s="11" t="s">
        <v>53</v>
      </c>
      <c r="C1002" s="11" t="s">
        <v>156</v>
      </c>
      <c r="D1002" s="11">
        <v>1</v>
      </c>
      <c r="E1002" s="11" t="s">
        <v>4</v>
      </c>
      <c r="F1002" s="12">
        <v>20600</v>
      </c>
      <c r="G1002" s="12">
        <v>20600</v>
      </c>
      <c r="H1002" s="11" t="str">
        <f t="shared" si="34"/>
        <v>平成4年12月5日</v>
      </c>
      <c r="I1002" s="22">
        <f t="shared" si="35"/>
        <v>33943</v>
      </c>
      <c r="J1002" s="1" t="str">
        <f>"00740711"</f>
        <v>00740711</v>
      </c>
      <c r="K1002" s="1" t="str">
        <f>"８７６　　　　　　　　　　　　　　　　　"</f>
        <v>８７６　　　　　　　　　　　　　　　　　</v>
      </c>
      <c r="L1002" s="1"/>
    </row>
    <row r="1003" spans="1:12" ht="18" customHeight="1" x14ac:dyDescent="0.15">
      <c r="A1003" s="11">
        <v>2160</v>
      </c>
      <c r="B1003" s="11" t="s">
        <v>53</v>
      </c>
      <c r="C1003" s="11" t="s">
        <v>156</v>
      </c>
      <c r="D1003" s="11">
        <v>1</v>
      </c>
      <c r="E1003" s="11" t="s">
        <v>4</v>
      </c>
      <c r="F1003" s="12">
        <v>20600</v>
      </c>
      <c r="G1003" s="12">
        <v>20600</v>
      </c>
      <c r="H1003" s="11" t="str">
        <f t="shared" si="34"/>
        <v>平成4年12月5日</v>
      </c>
      <c r="I1003" s="22">
        <f t="shared" si="35"/>
        <v>33943</v>
      </c>
      <c r="J1003" s="1" t="str">
        <f>"00740713"</f>
        <v>00740713</v>
      </c>
      <c r="K1003" s="1" t="str">
        <f>"８７７　　　　　　　　　　　　　　　　　"</f>
        <v>８７７　　　　　　　　　　　　　　　　　</v>
      </c>
      <c r="L1003" s="1"/>
    </row>
    <row r="1004" spans="1:12" ht="18" customHeight="1" x14ac:dyDescent="0.15">
      <c r="A1004" s="11">
        <v>2161</v>
      </c>
      <c r="B1004" s="11" t="s">
        <v>53</v>
      </c>
      <c r="C1004" s="11" t="s">
        <v>156</v>
      </c>
      <c r="D1004" s="11">
        <v>1</v>
      </c>
      <c r="E1004" s="11" t="s">
        <v>4</v>
      </c>
      <c r="F1004" s="12">
        <v>20600</v>
      </c>
      <c r="G1004" s="12">
        <v>20600</v>
      </c>
      <c r="H1004" s="11" t="str">
        <f t="shared" si="34"/>
        <v>平成4年12月5日</v>
      </c>
      <c r="I1004" s="22">
        <f t="shared" si="35"/>
        <v>33943</v>
      </c>
      <c r="J1004" s="1" t="str">
        <f>"00740715"</f>
        <v>00740715</v>
      </c>
      <c r="K1004" s="1" t="str">
        <f>"８７８　　　　　　　　　　　　　　　　　"</f>
        <v>８７８　　　　　　　　　　　　　　　　　</v>
      </c>
      <c r="L1004" s="1"/>
    </row>
    <row r="1005" spans="1:12" ht="18" customHeight="1" x14ac:dyDescent="0.15">
      <c r="A1005" s="11">
        <v>2162</v>
      </c>
      <c r="B1005" s="11" t="s">
        <v>53</v>
      </c>
      <c r="C1005" s="11" t="s">
        <v>156</v>
      </c>
      <c r="D1005" s="11">
        <v>1</v>
      </c>
      <c r="E1005" s="11" t="s">
        <v>4</v>
      </c>
      <c r="F1005" s="12">
        <v>20600</v>
      </c>
      <c r="G1005" s="12">
        <v>20600</v>
      </c>
      <c r="H1005" s="11" t="str">
        <f t="shared" si="34"/>
        <v>平成4年12月5日</v>
      </c>
      <c r="I1005" s="22">
        <f t="shared" si="35"/>
        <v>33943</v>
      </c>
      <c r="J1005" s="1" t="str">
        <f>"00740717"</f>
        <v>00740717</v>
      </c>
      <c r="K1005" s="1" t="str">
        <f>"８７９　　　　　　　　　　　　　　　　　"</f>
        <v>８７９　　　　　　　　　　　　　　　　　</v>
      </c>
      <c r="L1005" s="1"/>
    </row>
    <row r="1006" spans="1:12" ht="18" customHeight="1" x14ac:dyDescent="0.15">
      <c r="A1006" s="11">
        <v>2163</v>
      </c>
      <c r="B1006" s="11" t="s">
        <v>53</v>
      </c>
      <c r="C1006" s="11" t="s">
        <v>156</v>
      </c>
      <c r="D1006" s="11">
        <v>1</v>
      </c>
      <c r="E1006" s="11" t="s">
        <v>4</v>
      </c>
      <c r="F1006" s="12">
        <v>20600</v>
      </c>
      <c r="G1006" s="12">
        <v>20600</v>
      </c>
      <c r="H1006" s="11" t="str">
        <f t="shared" ref="H1006:H1069" si="36">"平成4年12月5日"</f>
        <v>平成4年12月5日</v>
      </c>
      <c r="I1006" s="22">
        <f t="shared" si="35"/>
        <v>33943</v>
      </c>
      <c r="J1006" s="1" t="str">
        <f>"00740719"</f>
        <v>00740719</v>
      </c>
      <c r="K1006" s="1" t="str">
        <f>"８８０　　　　　　　　　　　　　　　　　"</f>
        <v>８８０　　　　　　　　　　　　　　　　　</v>
      </c>
      <c r="L1006" s="1"/>
    </row>
    <row r="1007" spans="1:12" ht="18" customHeight="1" x14ac:dyDescent="0.15">
      <c r="A1007" s="11">
        <v>2164</v>
      </c>
      <c r="B1007" s="11" t="s">
        <v>53</v>
      </c>
      <c r="C1007" s="11" t="s">
        <v>156</v>
      </c>
      <c r="D1007" s="11">
        <v>1</v>
      </c>
      <c r="E1007" s="11" t="s">
        <v>4</v>
      </c>
      <c r="F1007" s="12">
        <v>20600</v>
      </c>
      <c r="G1007" s="12">
        <v>20600</v>
      </c>
      <c r="H1007" s="11" t="str">
        <f t="shared" si="36"/>
        <v>平成4年12月5日</v>
      </c>
      <c r="I1007" s="22">
        <f t="shared" si="35"/>
        <v>33943</v>
      </c>
      <c r="J1007" s="1" t="str">
        <f>"00740721"</f>
        <v>00740721</v>
      </c>
      <c r="K1007" s="1" t="str">
        <f>"８８１　　　　　　　　　　　　　　　　　"</f>
        <v>８８１　　　　　　　　　　　　　　　　　</v>
      </c>
      <c r="L1007" s="1"/>
    </row>
    <row r="1008" spans="1:12" ht="18" customHeight="1" x14ac:dyDescent="0.15">
      <c r="A1008" s="11">
        <v>2165</v>
      </c>
      <c r="B1008" s="11" t="s">
        <v>53</v>
      </c>
      <c r="C1008" s="11" t="s">
        <v>156</v>
      </c>
      <c r="D1008" s="11">
        <v>1</v>
      </c>
      <c r="E1008" s="11" t="s">
        <v>4</v>
      </c>
      <c r="F1008" s="12">
        <v>20600</v>
      </c>
      <c r="G1008" s="12">
        <v>20600</v>
      </c>
      <c r="H1008" s="11" t="str">
        <f t="shared" si="36"/>
        <v>平成4年12月5日</v>
      </c>
      <c r="I1008" s="22">
        <f t="shared" si="35"/>
        <v>33943</v>
      </c>
      <c r="J1008" s="1" t="str">
        <f>"00740723"</f>
        <v>00740723</v>
      </c>
      <c r="K1008" s="1" t="str">
        <f>"８８２　　　　　　　　　　　　　　　　　"</f>
        <v>８８２　　　　　　　　　　　　　　　　　</v>
      </c>
      <c r="L1008" s="1"/>
    </row>
    <row r="1009" spans="1:12" ht="18" customHeight="1" x14ac:dyDescent="0.15">
      <c r="A1009" s="11">
        <v>2166</v>
      </c>
      <c r="B1009" s="11" t="s">
        <v>53</v>
      </c>
      <c r="C1009" s="11" t="s">
        <v>156</v>
      </c>
      <c r="D1009" s="11">
        <v>1</v>
      </c>
      <c r="E1009" s="11" t="s">
        <v>4</v>
      </c>
      <c r="F1009" s="12">
        <v>20600</v>
      </c>
      <c r="G1009" s="12">
        <v>20600</v>
      </c>
      <c r="H1009" s="11" t="str">
        <f t="shared" si="36"/>
        <v>平成4年12月5日</v>
      </c>
      <c r="I1009" s="22">
        <f t="shared" si="35"/>
        <v>33943</v>
      </c>
      <c r="J1009" s="1" t="str">
        <f>"00740725"</f>
        <v>00740725</v>
      </c>
      <c r="K1009" s="1" t="str">
        <f>"８８３　　　　　　　　　　　　　　　　　"</f>
        <v>８８３　　　　　　　　　　　　　　　　　</v>
      </c>
      <c r="L1009" s="1"/>
    </row>
    <row r="1010" spans="1:12" ht="18" customHeight="1" x14ac:dyDescent="0.15">
      <c r="A1010" s="11">
        <v>2167</v>
      </c>
      <c r="B1010" s="11" t="s">
        <v>53</v>
      </c>
      <c r="C1010" s="11" t="s">
        <v>156</v>
      </c>
      <c r="D1010" s="11">
        <v>1</v>
      </c>
      <c r="E1010" s="11" t="s">
        <v>4</v>
      </c>
      <c r="F1010" s="12">
        <v>20600</v>
      </c>
      <c r="G1010" s="12">
        <v>20600</v>
      </c>
      <c r="H1010" s="11" t="str">
        <f t="shared" si="36"/>
        <v>平成4年12月5日</v>
      </c>
      <c r="I1010" s="22">
        <f t="shared" si="35"/>
        <v>33943</v>
      </c>
      <c r="J1010" s="1" t="str">
        <f>"00740727"</f>
        <v>00740727</v>
      </c>
      <c r="K1010" s="1" t="str">
        <f>"８８４　　　　　　　　　　　　　　　　　"</f>
        <v>８８４　　　　　　　　　　　　　　　　　</v>
      </c>
      <c r="L1010" s="1"/>
    </row>
    <row r="1011" spans="1:12" ht="18" customHeight="1" x14ac:dyDescent="0.15">
      <c r="A1011" s="11">
        <v>2168</v>
      </c>
      <c r="B1011" s="11" t="s">
        <v>53</v>
      </c>
      <c r="C1011" s="11" t="s">
        <v>156</v>
      </c>
      <c r="D1011" s="11">
        <v>1</v>
      </c>
      <c r="E1011" s="11" t="s">
        <v>4</v>
      </c>
      <c r="F1011" s="12">
        <v>20600</v>
      </c>
      <c r="G1011" s="12">
        <v>20600</v>
      </c>
      <c r="H1011" s="11" t="str">
        <f t="shared" si="36"/>
        <v>平成4年12月5日</v>
      </c>
      <c r="I1011" s="22">
        <f t="shared" si="35"/>
        <v>33943</v>
      </c>
      <c r="J1011" s="1" t="str">
        <f>"00740729"</f>
        <v>00740729</v>
      </c>
      <c r="K1011" s="1" t="str">
        <f>"８８５　　　　　　　　　　　　　　　　　"</f>
        <v>８８５　　　　　　　　　　　　　　　　　</v>
      </c>
      <c r="L1011" s="1"/>
    </row>
    <row r="1012" spans="1:12" ht="18" customHeight="1" x14ac:dyDescent="0.15">
      <c r="A1012" s="11">
        <v>2169</v>
      </c>
      <c r="B1012" s="11" t="s">
        <v>53</v>
      </c>
      <c r="C1012" s="11" t="s">
        <v>156</v>
      </c>
      <c r="D1012" s="11">
        <v>1</v>
      </c>
      <c r="E1012" s="11" t="s">
        <v>4</v>
      </c>
      <c r="F1012" s="12">
        <v>20600</v>
      </c>
      <c r="G1012" s="12">
        <v>20600</v>
      </c>
      <c r="H1012" s="11" t="str">
        <f t="shared" si="36"/>
        <v>平成4年12月5日</v>
      </c>
      <c r="I1012" s="22">
        <f t="shared" si="35"/>
        <v>33943</v>
      </c>
      <c r="J1012" s="1" t="str">
        <f>"00740731"</f>
        <v>00740731</v>
      </c>
      <c r="K1012" s="1" t="str">
        <f>"８８７　　　　　　　　　　　　　　　　　"</f>
        <v>８８７　　　　　　　　　　　　　　　　　</v>
      </c>
      <c r="L1012" s="1"/>
    </row>
    <row r="1013" spans="1:12" ht="18" customHeight="1" x14ac:dyDescent="0.15">
      <c r="A1013" s="11">
        <v>2170</v>
      </c>
      <c r="B1013" s="11" t="s">
        <v>53</v>
      </c>
      <c r="C1013" s="11" t="s">
        <v>156</v>
      </c>
      <c r="D1013" s="11">
        <v>1</v>
      </c>
      <c r="E1013" s="11" t="s">
        <v>4</v>
      </c>
      <c r="F1013" s="12">
        <v>20600</v>
      </c>
      <c r="G1013" s="12">
        <v>20600</v>
      </c>
      <c r="H1013" s="11" t="str">
        <f t="shared" si="36"/>
        <v>平成4年12月5日</v>
      </c>
      <c r="I1013" s="22">
        <f t="shared" si="35"/>
        <v>33943</v>
      </c>
      <c r="J1013" s="1" t="str">
        <f>"00740733"</f>
        <v>00740733</v>
      </c>
      <c r="K1013" s="1" t="str">
        <f>"８８８　　　　　　　　　　　　　　　　　"</f>
        <v>８８８　　　　　　　　　　　　　　　　　</v>
      </c>
      <c r="L1013" s="1"/>
    </row>
    <row r="1014" spans="1:12" ht="18" customHeight="1" x14ac:dyDescent="0.15">
      <c r="A1014" s="11">
        <v>2171</v>
      </c>
      <c r="B1014" s="11" t="s">
        <v>53</v>
      </c>
      <c r="C1014" s="11" t="s">
        <v>156</v>
      </c>
      <c r="D1014" s="11">
        <v>1</v>
      </c>
      <c r="E1014" s="11" t="s">
        <v>4</v>
      </c>
      <c r="F1014" s="12">
        <v>20600</v>
      </c>
      <c r="G1014" s="12">
        <v>20600</v>
      </c>
      <c r="H1014" s="11" t="str">
        <f t="shared" si="36"/>
        <v>平成4年12月5日</v>
      </c>
      <c r="I1014" s="22">
        <f t="shared" si="35"/>
        <v>33943</v>
      </c>
      <c r="J1014" s="1" t="str">
        <f>"00740735"</f>
        <v>00740735</v>
      </c>
      <c r="K1014" s="1" t="str">
        <f>"８８９　　　　　　　　　　　　　　　　　"</f>
        <v>８８９　　　　　　　　　　　　　　　　　</v>
      </c>
      <c r="L1014" s="1"/>
    </row>
    <row r="1015" spans="1:12" ht="18" customHeight="1" x14ac:dyDescent="0.15">
      <c r="A1015" s="11">
        <v>2172</v>
      </c>
      <c r="B1015" s="11" t="s">
        <v>53</v>
      </c>
      <c r="C1015" s="11" t="s">
        <v>156</v>
      </c>
      <c r="D1015" s="11">
        <v>1</v>
      </c>
      <c r="E1015" s="11" t="s">
        <v>4</v>
      </c>
      <c r="F1015" s="12">
        <v>20600</v>
      </c>
      <c r="G1015" s="12">
        <v>20600</v>
      </c>
      <c r="H1015" s="11" t="str">
        <f t="shared" si="36"/>
        <v>平成4年12月5日</v>
      </c>
      <c r="I1015" s="22">
        <f t="shared" si="35"/>
        <v>33943</v>
      </c>
      <c r="J1015" s="1" t="str">
        <f>"00740737"</f>
        <v>00740737</v>
      </c>
      <c r="K1015" s="1" t="str">
        <f>"８９０　　　　　　　　　　　　　　　　　"</f>
        <v>８９０　　　　　　　　　　　　　　　　　</v>
      </c>
      <c r="L1015" s="1"/>
    </row>
    <row r="1016" spans="1:12" ht="18" customHeight="1" x14ac:dyDescent="0.15">
      <c r="A1016" s="11">
        <v>2173</v>
      </c>
      <c r="B1016" s="11" t="s">
        <v>53</v>
      </c>
      <c r="C1016" s="11" t="s">
        <v>156</v>
      </c>
      <c r="D1016" s="11">
        <v>1</v>
      </c>
      <c r="E1016" s="11" t="s">
        <v>4</v>
      </c>
      <c r="F1016" s="12">
        <v>20600</v>
      </c>
      <c r="G1016" s="12">
        <v>20600</v>
      </c>
      <c r="H1016" s="11" t="str">
        <f t="shared" si="36"/>
        <v>平成4年12月5日</v>
      </c>
      <c r="I1016" s="22">
        <f t="shared" si="35"/>
        <v>33943</v>
      </c>
      <c r="J1016" s="1" t="str">
        <f>"00740739"</f>
        <v>00740739</v>
      </c>
      <c r="K1016" s="1" t="str">
        <f>"８９１　　　　　　　　　　　　　　　　　"</f>
        <v>８９１　　　　　　　　　　　　　　　　　</v>
      </c>
      <c r="L1016" s="1"/>
    </row>
    <row r="1017" spans="1:12" ht="18" customHeight="1" x14ac:dyDescent="0.15">
      <c r="A1017" s="11">
        <v>2174</v>
      </c>
      <c r="B1017" s="11" t="s">
        <v>53</v>
      </c>
      <c r="C1017" s="11" t="s">
        <v>156</v>
      </c>
      <c r="D1017" s="11">
        <v>1</v>
      </c>
      <c r="E1017" s="11" t="s">
        <v>4</v>
      </c>
      <c r="F1017" s="12">
        <v>20600</v>
      </c>
      <c r="G1017" s="12">
        <v>20600</v>
      </c>
      <c r="H1017" s="11" t="str">
        <f t="shared" si="36"/>
        <v>平成4年12月5日</v>
      </c>
      <c r="I1017" s="22">
        <f t="shared" si="35"/>
        <v>33943</v>
      </c>
      <c r="J1017" s="1" t="str">
        <f>"00740741"</f>
        <v>00740741</v>
      </c>
      <c r="K1017" s="1" t="str">
        <f>"８９２　　　　　　　　　　　　　　　　　"</f>
        <v>８９２　　　　　　　　　　　　　　　　　</v>
      </c>
      <c r="L1017" s="1"/>
    </row>
    <row r="1018" spans="1:12" ht="18" customHeight="1" x14ac:dyDescent="0.15">
      <c r="A1018" s="11">
        <v>2175</v>
      </c>
      <c r="B1018" s="11" t="s">
        <v>53</v>
      </c>
      <c r="C1018" s="11" t="s">
        <v>156</v>
      </c>
      <c r="D1018" s="11">
        <v>1</v>
      </c>
      <c r="E1018" s="11" t="s">
        <v>4</v>
      </c>
      <c r="F1018" s="12">
        <v>20600</v>
      </c>
      <c r="G1018" s="12">
        <v>20600</v>
      </c>
      <c r="H1018" s="11" t="str">
        <f t="shared" si="36"/>
        <v>平成4年12月5日</v>
      </c>
      <c r="I1018" s="22">
        <f t="shared" si="35"/>
        <v>33943</v>
      </c>
      <c r="J1018" s="1" t="str">
        <f>"00740743"</f>
        <v>00740743</v>
      </c>
      <c r="K1018" s="1" t="str">
        <f>"８９３　　　　　　　　　　　　　　　　　"</f>
        <v>８９３　　　　　　　　　　　　　　　　　</v>
      </c>
      <c r="L1018" s="1"/>
    </row>
    <row r="1019" spans="1:12" ht="18" customHeight="1" x14ac:dyDescent="0.15">
      <c r="A1019" s="11">
        <v>2176</v>
      </c>
      <c r="B1019" s="11" t="s">
        <v>53</v>
      </c>
      <c r="C1019" s="11" t="s">
        <v>156</v>
      </c>
      <c r="D1019" s="11">
        <v>1</v>
      </c>
      <c r="E1019" s="11" t="s">
        <v>4</v>
      </c>
      <c r="F1019" s="12">
        <v>20600</v>
      </c>
      <c r="G1019" s="12">
        <v>20600</v>
      </c>
      <c r="H1019" s="11" t="str">
        <f t="shared" si="36"/>
        <v>平成4年12月5日</v>
      </c>
      <c r="I1019" s="22">
        <f t="shared" si="35"/>
        <v>33943</v>
      </c>
      <c r="J1019" s="1" t="str">
        <f>"00740745"</f>
        <v>00740745</v>
      </c>
      <c r="K1019" s="1" t="str">
        <f>"８９４　　　　　　　　　　　　　　　　　"</f>
        <v>８９４　　　　　　　　　　　　　　　　　</v>
      </c>
      <c r="L1019" s="1"/>
    </row>
    <row r="1020" spans="1:12" ht="18" customHeight="1" x14ac:dyDescent="0.15">
      <c r="A1020" s="11">
        <v>2177</v>
      </c>
      <c r="B1020" s="11" t="s">
        <v>53</v>
      </c>
      <c r="C1020" s="11" t="s">
        <v>156</v>
      </c>
      <c r="D1020" s="11">
        <v>1</v>
      </c>
      <c r="E1020" s="11" t="s">
        <v>4</v>
      </c>
      <c r="F1020" s="12">
        <v>20600</v>
      </c>
      <c r="G1020" s="12">
        <v>20600</v>
      </c>
      <c r="H1020" s="11" t="str">
        <f t="shared" si="36"/>
        <v>平成4年12月5日</v>
      </c>
      <c r="I1020" s="22">
        <f t="shared" si="35"/>
        <v>33943</v>
      </c>
      <c r="J1020" s="1" t="str">
        <f>"00740747"</f>
        <v>00740747</v>
      </c>
      <c r="K1020" s="1" t="str">
        <f>"８９５　　　　　　　　　　　　　　　　　"</f>
        <v>８９５　　　　　　　　　　　　　　　　　</v>
      </c>
      <c r="L1020" s="1"/>
    </row>
    <row r="1021" spans="1:12" ht="18" customHeight="1" x14ac:dyDescent="0.15">
      <c r="A1021" s="11">
        <v>2178</v>
      </c>
      <c r="B1021" s="11" t="s">
        <v>53</v>
      </c>
      <c r="C1021" s="11" t="s">
        <v>156</v>
      </c>
      <c r="D1021" s="11">
        <v>1</v>
      </c>
      <c r="E1021" s="11" t="s">
        <v>4</v>
      </c>
      <c r="F1021" s="12">
        <v>20600</v>
      </c>
      <c r="G1021" s="12">
        <v>20600</v>
      </c>
      <c r="H1021" s="11" t="str">
        <f t="shared" si="36"/>
        <v>平成4年12月5日</v>
      </c>
      <c r="I1021" s="22">
        <f t="shared" si="35"/>
        <v>33943</v>
      </c>
      <c r="J1021" s="1" t="str">
        <f>"00740749"</f>
        <v>00740749</v>
      </c>
      <c r="K1021" s="1" t="str">
        <f>"８９６　　　　　　　　　　　　　　　　　"</f>
        <v>８９６　　　　　　　　　　　　　　　　　</v>
      </c>
      <c r="L1021" s="1"/>
    </row>
    <row r="1022" spans="1:12" ht="18" customHeight="1" x14ac:dyDescent="0.15">
      <c r="A1022" s="11">
        <v>2179</v>
      </c>
      <c r="B1022" s="11" t="s">
        <v>53</v>
      </c>
      <c r="C1022" s="11" t="s">
        <v>156</v>
      </c>
      <c r="D1022" s="11">
        <v>1</v>
      </c>
      <c r="E1022" s="11" t="s">
        <v>4</v>
      </c>
      <c r="F1022" s="12">
        <v>20600</v>
      </c>
      <c r="G1022" s="12">
        <v>20600</v>
      </c>
      <c r="H1022" s="11" t="str">
        <f t="shared" si="36"/>
        <v>平成4年12月5日</v>
      </c>
      <c r="I1022" s="22">
        <f t="shared" si="35"/>
        <v>33943</v>
      </c>
      <c r="J1022" s="1" t="str">
        <f>"00740750"</f>
        <v>00740750</v>
      </c>
      <c r="K1022" s="1" t="str">
        <f>"８９７　　　　　　　　　　　　　　　　　"</f>
        <v>８９７　　　　　　　　　　　　　　　　　</v>
      </c>
      <c r="L1022" s="1"/>
    </row>
    <row r="1023" spans="1:12" ht="18" customHeight="1" x14ac:dyDescent="0.15">
      <c r="A1023" s="11">
        <v>2180</v>
      </c>
      <c r="B1023" s="11" t="s">
        <v>53</v>
      </c>
      <c r="C1023" s="11" t="s">
        <v>156</v>
      </c>
      <c r="D1023" s="11">
        <v>1</v>
      </c>
      <c r="E1023" s="11" t="s">
        <v>4</v>
      </c>
      <c r="F1023" s="12">
        <v>20600</v>
      </c>
      <c r="G1023" s="12">
        <v>20600</v>
      </c>
      <c r="H1023" s="11" t="str">
        <f t="shared" si="36"/>
        <v>平成4年12月5日</v>
      </c>
      <c r="I1023" s="22">
        <f t="shared" si="35"/>
        <v>33943</v>
      </c>
      <c r="J1023" s="1" t="str">
        <f>"00740752"</f>
        <v>00740752</v>
      </c>
      <c r="K1023" s="1" t="str">
        <f>"８９８　　　　　　　　　　　　　　　　　"</f>
        <v>８９８　　　　　　　　　　　　　　　　　</v>
      </c>
      <c r="L1023" s="1"/>
    </row>
    <row r="1024" spans="1:12" ht="18" customHeight="1" x14ac:dyDescent="0.15">
      <c r="A1024" s="11">
        <v>2181</v>
      </c>
      <c r="B1024" s="11" t="s">
        <v>53</v>
      </c>
      <c r="C1024" s="11" t="s">
        <v>156</v>
      </c>
      <c r="D1024" s="11">
        <v>1</v>
      </c>
      <c r="E1024" s="11" t="s">
        <v>4</v>
      </c>
      <c r="F1024" s="12">
        <v>20600</v>
      </c>
      <c r="G1024" s="12">
        <v>20600</v>
      </c>
      <c r="H1024" s="11" t="str">
        <f t="shared" si="36"/>
        <v>平成4年12月5日</v>
      </c>
      <c r="I1024" s="22">
        <f t="shared" si="35"/>
        <v>33943</v>
      </c>
      <c r="J1024" s="1" t="str">
        <f>"00740754"</f>
        <v>00740754</v>
      </c>
      <c r="K1024" s="1" t="str">
        <f>"８９９　　　　　　　　　　　　　　　　　"</f>
        <v>８９９　　　　　　　　　　　　　　　　　</v>
      </c>
      <c r="L1024" s="1"/>
    </row>
    <row r="1025" spans="1:12" ht="18" customHeight="1" x14ac:dyDescent="0.15">
      <c r="A1025" s="11">
        <v>2182</v>
      </c>
      <c r="B1025" s="11" t="s">
        <v>53</v>
      </c>
      <c r="C1025" s="11" t="s">
        <v>156</v>
      </c>
      <c r="D1025" s="11">
        <v>1</v>
      </c>
      <c r="E1025" s="11" t="s">
        <v>4</v>
      </c>
      <c r="F1025" s="12">
        <v>20600</v>
      </c>
      <c r="G1025" s="12">
        <v>20600</v>
      </c>
      <c r="H1025" s="11" t="str">
        <f t="shared" si="36"/>
        <v>平成4年12月5日</v>
      </c>
      <c r="I1025" s="22">
        <f t="shared" si="35"/>
        <v>33943</v>
      </c>
      <c r="J1025" s="1" t="str">
        <f>"00740756"</f>
        <v>00740756</v>
      </c>
      <c r="K1025" s="1" t="str">
        <f>"９００　　　　　　　　　　　　　　　　　"</f>
        <v>９００　　　　　　　　　　　　　　　　　</v>
      </c>
      <c r="L1025" s="1"/>
    </row>
    <row r="1026" spans="1:12" ht="18" customHeight="1" x14ac:dyDescent="0.15">
      <c r="A1026" s="11">
        <v>2183</v>
      </c>
      <c r="B1026" s="11" t="s">
        <v>53</v>
      </c>
      <c r="C1026" s="11" t="s">
        <v>156</v>
      </c>
      <c r="D1026" s="11">
        <v>1</v>
      </c>
      <c r="E1026" s="11" t="s">
        <v>4</v>
      </c>
      <c r="F1026" s="12">
        <v>20600</v>
      </c>
      <c r="G1026" s="12">
        <v>20600</v>
      </c>
      <c r="H1026" s="11" t="str">
        <f t="shared" si="36"/>
        <v>平成4年12月5日</v>
      </c>
      <c r="I1026" s="22">
        <f t="shared" si="35"/>
        <v>33943</v>
      </c>
      <c r="J1026" s="1" t="str">
        <f>"00740758"</f>
        <v>00740758</v>
      </c>
      <c r="K1026" s="1" t="str">
        <f>"９０１　　　　　　　　　　　　　　　　　"</f>
        <v>９０１　　　　　　　　　　　　　　　　　</v>
      </c>
      <c r="L1026" s="1"/>
    </row>
    <row r="1027" spans="1:12" ht="18" customHeight="1" x14ac:dyDescent="0.15">
      <c r="A1027" s="11">
        <v>2184</v>
      </c>
      <c r="B1027" s="11" t="s">
        <v>53</v>
      </c>
      <c r="C1027" s="11" t="s">
        <v>156</v>
      </c>
      <c r="D1027" s="11">
        <v>1</v>
      </c>
      <c r="E1027" s="11" t="s">
        <v>4</v>
      </c>
      <c r="F1027" s="12">
        <v>20600</v>
      </c>
      <c r="G1027" s="12">
        <v>20600</v>
      </c>
      <c r="H1027" s="11" t="str">
        <f t="shared" si="36"/>
        <v>平成4年12月5日</v>
      </c>
      <c r="I1027" s="22">
        <f t="shared" si="35"/>
        <v>33943</v>
      </c>
      <c r="J1027" s="1" t="str">
        <f>"00740761"</f>
        <v>00740761</v>
      </c>
      <c r="K1027" s="1" t="str">
        <f>"９０２　　　　　　　　　　　　　　　　　"</f>
        <v>９０２　　　　　　　　　　　　　　　　　</v>
      </c>
      <c r="L1027" s="1"/>
    </row>
    <row r="1028" spans="1:12" ht="18" customHeight="1" x14ac:dyDescent="0.15">
      <c r="A1028" s="11">
        <v>2185</v>
      </c>
      <c r="B1028" s="11" t="s">
        <v>53</v>
      </c>
      <c r="C1028" s="11" t="s">
        <v>156</v>
      </c>
      <c r="D1028" s="11">
        <v>1</v>
      </c>
      <c r="E1028" s="11" t="s">
        <v>4</v>
      </c>
      <c r="F1028" s="12">
        <v>20600</v>
      </c>
      <c r="G1028" s="12">
        <v>20600</v>
      </c>
      <c r="H1028" s="11" t="str">
        <f t="shared" si="36"/>
        <v>平成4年12月5日</v>
      </c>
      <c r="I1028" s="22">
        <f t="shared" si="35"/>
        <v>33943</v>
      </c>
      <c r="J1028" s="1" t="str">
        <f>"00740763"</f>
        <v>00740763</v>
      </c>
      <c r="K1028" s="1" t="str">
        <f>"９０３　　　　　　　　　　　　　　　　　"</f>
        <v>９０３　　　　　　　　　　　　　　　　　</v>
      </c>
      <c r="L1028" s="1"/>
    </row>
    <row r="1029" spans="1:12" ht="18" customHeight="1" x14ac:dyDescent="0.15">
      <c r="A1029" s="11">
        <v>2186</v>
      </c>
      <c r="B1029" s="11" t="s">
        <v>53</v>
      </c>
      <c r="C1029" s="11" t="s">
        <v>156</v>
      </c>
      <c r="D1029" s="11">
        <v>1</v>
      </c>
      <c r="E1029" s="11" t="s">
        <v>4</v>
      </c>
      <c r="F1029" s="12">
        <v>20600</v>
      </c>
      <c r="G1029" s="12">
        <v>20600</v>
      </c>
      <c r="H1029" s="11" t="str">
        <f t="shared" si="36"/>
        <v>平成4年12月5日</v>
      </c>
      <c r="I1029" s="22">
        <f t="shared" si="35"/>
        <v>33943</v>
      </c>
      <c r="J1029" s="1" t="str">
        <f>"00740765"</f>
        <v>00740765</v>
      </c>
      <c r="K1029" s="1" t="str">
        <f>"９０４　　　　　　　　　　　　　　　　　"</f>
        <v>９０４　　　　　　　　　　　　　　　　　</v>
      </c>
      <c r="L1029" s="1"/>
    </row>
    <row r="1030" spans="1:12" ht="18" customHeight="1" x14ac:dyDescent="0.15">
      <c r="A1030" s="11">
        <v>2187</v>
      </c>
      <c r="B1030" s="11" t="s">
        <v>53</v>
      </c>
      <c r="C1030" s="11" t="s">
        <v>156</v>
      </c>
      <c r="D1030" s="11">
        <v>1</v>
      </c>
      <c r="E1030" s="11" t="s">
        <v>4</v>
      </c>
      <c r="F1030" s="12">
        <v>20600</v>
      </c>
      <c r="G1030" s="12">
        <v>20600</v>
      </c>
      <c r="H1030" s="11" t="str">
        <f t="shared" si="36"/>
        <v>平成4年12月5日</v>
      </c>
      <c r="I1030" s="22">
        <f t="shared" si="35"/>
        <v>33943</v>
      </c>
      <c r="J1030" s="1" t="str">
        <f>"00740767"</f>
        <v>00740767</v>
      </c>
      <c r="K1030" s="1" t="str">
        <f>"９０５　　　　　　　　　　　　　　　　　"</f>
        <v>９０５　　　　　　　　　　　　　　　　　</v>
      </c>
      <c r="L1030" s="1"/>
    </row>
    <row r="1031" spans="1:12" ht="18" customHeight="1" x14ac:dyDescent="0.15">
      <c r="A1031" s="11">
        <v>2188</v>
      </c>
      <c r="B1031" s="11" t="s">
        <v>53</v>
      </c>
      <c r="C1031" s="11" t="s">
        <v>156</v>
      </c>
      <c r="D1031" s="11">
        <v>1</v>
      </c>
      <c r="E1031" s="11" t="s">
        <v>4</v>
      </c>
      <c r="F1031" s="12">
        <v>20600</v>
      </c>
      <c r="G1031" s="12">
        <v>20600</v>
      </c>
      <c r="H1031" s="11" t="str">
        <f t="shared" si="36"/>
        <v>平成4年12月5日</v>
      </c>
      <c r="I1031" s="22">
        <f t="shared" si="35"/>
        <v>33943</v>
      </c>
      <c r="J1031" s="1" t="str">
        <f>"00740769"</f>
        <v>00740769</v>
      </c>
      <c r="K1031" s="1" t="str">
        <f>"９０６　　　　　　　　　　　　　　　　　"</f>
        <v>９０６　　　　　　　　　　　　　　　　　</v>
      </c>
      <c r="L1031" s="1"/>
    </row>
    <row r="1032" spans="1:12" ht="18" customHeight="1" x14ac:dyDescent="0.15">
      <c r="A1032" s="11">
        <v>2189</v>
      </c>
      <c r="B1032" s="11" t="s">
        <v>53</v>
      </c>
      <c r="C1032" s="11" t="s">
        <v>156</v>
      </c>
      <c r="D1032" s="11">
        <v>1</v>
      </c>
      <c r="E1032" s="11" t="s">
        <v>4</v>
      </c>
      <c r="F1032" s="12">
        <v>20600</v>
      </c>
      <c r="G1032" s="12">
        <v>20600</v>
      </c>
      <c r="H1032" s="11" t="str">
        <f t="shared" si="36"/>
        <v>平成4年12月5日</v>
      </c>
      <c r="I1032" s="22">
        <f t="shared" si="35"/>
        <v>33943</v>
      </c>
      <c r="J1032" s="1" t="str">
        <f>"00740771"</f>
        <v>00740771</v>
      </c>
      <c r="K1032" s="1" t="str">
        <f>"９０７　　　　　　　　　　　　　　　　　"</f>
        <v>９０７　　　　　　　　　　　　　　　　　</v>
      </c>
      <c r="L1032" s="1"/>
    </row>
    <row r="1033" spans="1:12" ht="18" customHeight="1" x14ac:dyDescent="0.15">
      <c r="A1033" s="11">
        <v>2190</v>
      </c>
      <c r="B1033" s="11" t="s">
        <v>53</v>
      </c>
      <c r="C1033" s="11" t="s">
        <v>156</v>
      </c>
      <c r="D1033" s="11">
        <v>1</v>
      </c>
      <c r="E1033" s="11" t="s">
        <v>4</v>
      </c>
      <c r="F1033" s="12">
        <v>20600</v>
      </c>
      <c r="G1033" s="12">
        <v>20600</v>
      </c>
      <c r="H1033" s="11" t="str">
        <f t="shared" si="36"/>
        <v>平成4年12月5日</v>
      </c>
      <c r="I1033" s="22">
        <f t="shared" si="35"/>
        <v>33943</v>
      </c>
      <c r="J1033" s="1" t="str">
        <f>"00740773"</f>
        <v>00740773</v>
      </c>
      <c r="K1033" s="1" t="str">
        <f>"９０８　　　　　　　　　　　　　　　　　"</f>
        <v>９０８　　　　　　　　　　　　　　　　　</v>
      </c>
      <c r="L1033" s="1"/>
    </row>
    <row r="1034" spans="1:12" ht="18" customHeight="1" x14ac:dyDescent="0.15">
      <c r="A1034" s="11">
        <v>2191</v>
      </c>
      <c r="B1034" s="11" t="s">
        <v>53</v>
      </c>
      <c r="C1034" s="11" t="s">
        <v>156</v>
      </c>
      <c r="D1034" s="11">
        <v>1</v>
      </c>
      <c r="E1034" s="11" t="s">
        <v>4</v>
      </c>
      <c r="F1034" s="12">
        <v>20600</v>
      </c>
      <c r="G1034" s="12">
        <v>20600</v>
      </c>
      <c r="H1034" s="11" t="str">
        <f t="shared" si="36"/>
        <v>平成4年12月5日</v>
      </c>
      <c r="I1034" s="22">
        <f t="shared" si="35"/>
        <v>33943</v>
      </c>
      <c r="J1034" s="1" t="str">
        <f>"00740775"</f>
        <v>00740775</v>
      </c>
      <c r="K1034" s="1" t="str">
        <f>"９０９　　　　　　　　　　　　　　　　　"</f>
        <v>９０９　　　　　　　　　　　　　　　　　</v>
      </c>
      <c r="L1034" s="1"/>
    </row>
    <row r="1035" spans="1:12" ht="18" customHeight="1" x14ac:dyDescent="0.15">
      <c r="A1035" s="11">
        <v>2192</v>
      </c>
      <c r="B1035" s="11" t="s">
        <v>53</v>
      </c>
      <c r="C1035" s="11" t="s">
        <v>156</v>
      </c>
      <c r="D1035" s="11">
        <v>1</v>
      </c>
      <c r="E1035" s="11" t="s">
        <v>4</v>
      </c>
      <c r="F1035" s="12">
        <v>20600</v>
      </c>
      <c r="G1035" s="12">
        <v>20600</v>
      </c>
      <c r="H1035" s="11" t="str">
        <f t="shared" si="36"/>
        <v>平成4年12月5日</v>
      </c>
      <c r="I1035" s="22">
        <f t="shared" si="35"/>
        <v>33943</v>
      </c>
      <c r="J1035" s="1" t="str">
        <f>"00740777"</f>
        <v>00740777</v>
      </c>
      <c r="K1035" s="1" t="str">
        <f>"９１０　　　　　　　　　　　　　　　　　"</f>
        <v>９１０　　　　　　　　　　　　　　　　　</v>
      </c>
      <c r="L1035" s="1"/>
    </row>
    <row r="1036" spans="1:12" ht="18" customHeight="1" x14ac:dyDescent="0.15">
      <c r="A1036" s="11">
        <v>2193</v>
      </c>
      <c r="B1036" s="11" t="s">
        <v>53</v>
      </c>
      <c r="C1036" s="11" t="s">
        <v>156</v>
      </c>
      <c r="D1036" s="11">
        <v>1</v>
      </c>
      <c r="E1036" s="11" t="s">
        <v>4</v>
      </c>
      <c r="F1036" s="12">
        <v>20600</v>
      </c>
      <c r="G1036" s="12">
        <v>20600</v>
      </c>
      <c r="H1036" s="11" t="str">
        <f t="shared" si="36"/>
        <v>平成4年12月5日</v>
      </c>
      <c r="I1036" s="22">
        <f t="shared" si="35"/>
        <v>33943</v>
      </c>
      <c r="J1036" s="1" t="str">
        <f>"00740779"</f>
        <v>00740779</v>
      </c>
      <c r="K1036" s="1" t="str">
        <f>"９１１　　　　　　　　　　　　　　　　　"</f>
        <v>９１１　　　　　　　　　　　　　　　　　</v>
      </c>
      <c r="L1036" s="1"/>
    </row>
    <row r="1037" spans="1:12" ht="18" customHeight="1" x14ac:dyDescent="0.15">
      <c r="A1037" s="11">
        <v>2194</v>
      </c>
      <c r="B1037" s="11" t="s">
        <v>53</v>
      </c>
      <c r="C1037" s="11" t="s">
        <v>156</v>
      </c>
      <c r="D1037" s="11">
        <v>1</v>
      </c>
      <c r="E1037" s="11" t="s">
        <v>4</v>
      </c>
      <c r="F1037" s="12">
        <v>20600</v>
      </c>
      <c r="G1037" s="12">
        <v>20600</v>
      </c>
      <c r="H1037" s="11" t="str">
        <f t="shared" si="36"/>
        <v>平成4年12月5日</v>
      </c>
      <c r="I1037" s="22">
        <f t="shared" si="35"/>
        <v>33943</v>
      </c>
      <c r="J1037" s="1" t="str">
        <f>"00740781"</f>
        <v>00740781</v>
      </c>
      <c r="K1037" s="1" t="str">
        <f>"９１２　　　　　　　　　　　　　　　　　"</f>
        <v>９１２　　　　　　　　　　　　　　　　　</v>
      </c>
      <c r="L1037" s="1"/>
    </row>
    <row r="1038" spans="1:12" ht="18" customHeight="1" x14ac:dyDescent="0.15">
      <c r="A1038" s="11">
        <v>2195</v>
      </c>
      <c r="B1038" s="11" t="s">
        <v>53</v>
      </c>
      <c r="C1038" s="11" t="s">
        <v>156</v>
      </c>
      <c r="D1038" s="11">
        <v>1</v>
      </c>
      <c r="E1038" s="11" t="s">
        <v>4</v>
      </c>
      <c r="F1038" s="12">
        <v>20600</v>
      </c>
      <c r="G1038" s="12">
        <v>20600</v>
      </c>
      <c r="H1038" s="11" t="str">
        <f t="shared" si="36"/>
        <v>平成4年12月5日</v>
      </c>
      <c r="I1038" s="22">
        <f t="shared" si="35"/>
        <v>33943</v>
      </c>
      <c r="J1038" s="1" t="str">
        <f>"00740783"</f>
        <v>00740783</v>
      </c>
      <c r="K1038" s="1" t="str">
        <f>"９１３　　　　　　　　　　　　　　　　　"</f>
        <v>９１３　　　　　　　　　　　　　　　　　</v>
      </c>
      <c r="L1038" s="1"/>
    </row>
    <row r="1039" spans="1:12" ht="18" customHeight="1" x14ac:dyDescent="0.15">
      <c r="A1039" s="11">
        <v>2196</v>
      </c>
      <c r="B1039" s="11" t="s">
        <v>53</v>
      </c>
      <c r="C1039" s="11" t="s">
        <v>156</v>
      </c>
      <c r="D1039" s="11">
        <v>1</v>
      </c>
      <c r="E1039" s="11" t="s">
        <v>4</v>
      </c>
      <c r="F1039" s="12">
        <v>20600</v>
      </c>
      <c r="G1039" s="12">
        <v>20600</v>
      </c>
      <c r="H1039" s="11" t="str">
        <f t="shared" si="36"/>
        <v>平成4年12月5日</v>
      </c>
      <c r="I1039" s="22">
        <f t="shared" si="35"/>
        <v>33943</v>
      </c>
      <c r="J1039" s="1" t="str">
        <f>"00740785"</f>
        <v>00740785</v>
      </c>
      <c r="K1039" s="1" t="str">
        <f>"９１４　　　　　　　　　　　　　　　　　"</f>
        <v>９１４　　　　　　　　　　　　　　　　　</v>
      </c>
      <c r="L1039" s="1"/>
    </row>
    <row r="1040" spans="1:12" ht="18" customHeight="1" x14ac:dyDescent="0.15">
      <c r="A1040" s="11">
        <v>2197</v>
      </c>
      <c r="B1040" s="11" t="s">
        <v>53</v>
      </c>
      <c r="C1040" s="11" t="s">
        <v>156</v>
      </c>
      <c r="D1040" s="11">
        <v>1</v>
      </c>
      <c r="E1040" s="11" t="s">
        <v>4</v>
      </c>
      <c r="F1040" s="12">
        <v>20600</v>
      </c>
      <c r="G1040" s="12">
        <v>20600</v>
      </c>
      <c r="H1040" s="11" t="str">
        <f t="shared" si="36"/>
        <v>平成4年12月5日</v>
      </c>
      <c r="I1040" s="22">
        <f t="shared" si="35"/>
        <v>33943</v>
      </c>
      <c r="J1040" s="1" t="str">
        <f>"00740787"</f>
        <v>00740787</v>
      </c>
      <c r="K1040" s="1" t="str">
        <f>"９１５　　　　　　　　　　　　　　　　　"</f>
        <v>９１５　　　　　　　　　　　　　　　　　</v>
      </c>
      <c r="L1040" s="1"/>
    </row>
    <row r="1041" spans="1:12" ht="18" customHeight="1" x14ac:dyDescent="0.15">
      <c r="A1041" s="11">
        <v>2198</v>
      </c>
      <c r="B1041" s="11" t="s">
        <v>53</v>
      </c>
      <c r="C1041" s="11" t="s">
        <v>156</v>
      </c>
      <c r="D1041" s="11">
        <v>1</v>
      </c>
      <c r="E1041" s="11" t="s">
        <v>4</v>
      </c>
      <c r="F1041" s="12">
        <v>20600</v>
      </c>
      <c r="G1041" s="12">
        <v>20600</v>
      </c>
      <c r="H1041" s="11" t="str">
        <f t="shared" si="36"/>
        <v>平成4年12月5日</v>
      </c>
      <c r="I1041" s="22">
        <f t="shared" si="35"/>
        <v>33943</v>
      </c>
      <c r="J1041" s="1" t="str">
        <f>"00740789"</f>
        <v>00740789</v>
      </c>
      <c r="K1041" s="1" t="str">
        <f>"９１６　　　　　　　　　　　　　　　　　"</f>
        <v>９１６　　　　　　　　　　　　　　　　　</v>
      </c>
      <c r="L1041" s="1"/>
    </row>
    <row r="1042" spans="1:12" ht="18" customHeight="1" x14ac:dyDescent="0.15">
      <c r="A1042" s="11">
        <v>2199</v>
      </c>
      <c r="B1042" s="11" t="s">
        <v>53</v>
      </c>
      <c r="C1042" s="11" t="s">
        <v>156</v>
      </c>
      <c r="D1042" s="11">
        <v>1</v>
      </c>
      <c r="E1042" s="11" t="s">
        <v>4</v>
      </c>
      <c r="F1042" s="12">
        <v>20600</v>
      </c>
      <c r="G1042" s="12">
        <v>20600</v>
      </c>
      <c r="H1042" s="11" t="str">
        <f t="shared" si="36"/>
        <v>平成4年12月5日</v>
      </c>
      <c r="I1042" s="22">
        <f t="shared" ref="I1042:I1105" si="37">DATEVALUE(H1042)</f>
        <v>33943</v>
      </c>
      <c r="J1042" s="1" t="str">
        <f>"00740791"</f>
        <v>00740791</v>
      </c>
      <c r="K1042" s="1" t="str">
        <f>"９１７　　　　　　　　　　　　　　　　　"</f>
        <v>９１７　　　　　　　　　　　　　　　　　</v>
      </c>
      <c r="L1042" s="1"/>
    </row>
    <row r="1043" spans="1:12" ht="18" customHeight="1" x14ac:dyDescent="0.15">
      <c r="A1043" s="11">
        <v>2200</v>
      </c>
      <c r="B1043" s="11" t="s">
        <v>53</v>
      </c>
      <c r="C1043" s="11" t="s">
        <v>156</v>
      </c>
      <c r="D1043" s="11">
        <v>1</v>
      </c>
      <c r="E1043" s="11" t="s">
        <v>4</v>
      </c>
      <c r="F1043" s="12">
        <v>20600</v>
      </c>
      <c r="G1043" s="12">
        <v>20600</v>
      </c>
      <c r="H1043" s="11" t="str">
        <f t="shared" si="36"/>
        <v>平成4年12月5日</v>
      </c>
      <c r="I1043" s="22">
        <f t="shared" si="37"/>
        <v>33943</v>
      </c>
      <c r="J1043" s="1" t="str">
        <f>"00740793"</f>
        <v>00740793</v>
      </c>
      <c r="K1043" s="1" t="str">
        <f>"９１８　　　　　　　　　　　　　　　　　"</f>
        <v>９１８　　　　　　　　　　　　　　　　　</v>
      </c>
      <c r="L1043" s="1"/>
    </row>
    <row r="1044" spans="1:12" ht="18" customHeight="1" x14ac:dyDescent="0.15">
      <c r="A1044" s="11">
        <v>2201</v>
      </c>
      <c r="B1044" s="11" t="s">
        <v>53</v>
      </c>
      <c r="C1044" s="11" t="s">
        <v>156</v>
      </c>
      <c r="D1044" s="11">
        <v>1</v>
      </c>
      <c r="E1044" s="11" t="s">
        <v>4</v>
      </c>
      <c r="F1044" s="12">
        <v>20600</v>
      </c>
      <c r="G1044" s="12">
        <v>20600</v>
      </c>
      <c r="H1044" s="11" t="str">
        <f t="shared" si="36"/>
        <v>平成4年12月5日</v>
      </c>
      <c r="I1044" s="22">
        <f t="shared" si="37"/>
        <v>33943</v>
      </c>
      <c r="J1044" s="1" t="str">
        <f>"00740795"</f>
        <v>00740795</v>
      </c>
      <c r="K1044" s="1" t="str">
        <f>"９１９　　　　　　　　　　　　　　　　　"</f>
        <v>９１９　　　　　　　　　　　　　　　　　</v>
      </c>
      <c r="L1044" s="1"/>
    </row>
    <row r="1045" spans="1:12" ht="18" customHeight="1" x14ac:dyDescent="0.15">
      <c r="A1045" s="11">
        <v>2202</v>
      </c>
      <c r="B1045" s="11" t="s">
        <v>53</v>
      </c>
      <c r="C1045" s="11" t="s">
        <v>156</v>
      </c>
      <c r="D1045" s="11">
        <v>1</v>
      </c>
      <c r="E1045" s="11" t="s">
        <v>4</v>
      </c>
      <c r="F1045" s="12">
        <v>20600</v>
      </c>
      <c r="G1045" s="12">
        <v>20600</v>
      </c>
      <c r="H1045" s="11" t="str">
        <f t="shared" si="36"/>
        <v>平成4年12月5日</v>
      </c>
      <c r="I1045" s="22">
        <f t="shared" si="37"/>
        <v>33943</v>
      </c>
      <c r="J1045" s="1" t="str">
        <f>"00740797"</f>
        <v>00740797</v>
      </c>
      <c r="K1045" s="1" t="str">
        <f>"９２０　　　　　　　　　　　　　　　　　"</f>
        <v>９２０　　　　　　　　　　　　　　　　　</v>
      </c>
      <c r="L1045" s="1"/>
    </row>
    <row r="1046" spans="1:12" ht="18" customHeight="1" x14ac:dyDescent="0.15">
      <c r="A1046" s="11">
        <v>2203</v>
      </c>
      <c r="B1046" s="11" t="s">
        <v>53</v>
      </c>
      <c r="C1046" s="11" t="s">
        <v>156</v>
      </c>
      <c r="D1046" s="11">
        <v>1</v>
      </c>
      <c r="E1046" s="11" t="s">
        <v>4</v>
      </c>
      <c r="F1046" s="12">
        <v>20600</v>
      </c>
      <c r="G1046" s="12">
        <v>20600</v>
      </c>
      <c r="H1046" s="11" t="str">
        <f t="shared" si="36"/>
        <v>平成4年12月5日</v>
      </c>
      <c r="I1046" s="22">
        <f t="shared" si="37"/>
        <v>33943</v>
      </c>
      <c r="J1046" s="1" t="str">
        <f>"00740799"</f>
        <v>00740799</v>
      </c>
      <c r="K1046" s="1" t="str">
        <f>"９２１　　　　　　　　　　　　　　　　　"</f>
        <v>９２１　　　　　　　　　　　　　　　　　</v>
      </c>
      <c r="L1046" s="1"/>
    </row>
    <row r="1047" spans="1:12" ht="18" customHeight="1" x14ac:dyDescent="0.15">
      <c r="A1047" s="11">
        <v>2204</v>
      </c>
      <c r="B1047" s="11" t="s">
        <v>53</v>
      </c>
      <c r="C1047" s="11" t="s">
        <v>156</v>
      </c>
      <c r="D1047" s="11">
        <v>1</v>
      </c>
      <c r="E1047" s="11" t="s">
        <v>4</v>
      </c>
      <c r="F1047" s="12">
        <v>20600</v>
      </c>
      <c r="G1047" s="12">
        <v>20600</v>
      </c>
      <c r="H1047" s="11" t="str">
        <f t="shared" si="36"/>
        <v>平成4年12月5日</v>
      </c>
      <c r="I1047" s="22">
        <f t="shared" si="37"/>
        <v>33943</v>
      </c>
      <c r="J1047" s="1" t="str">
        <f>"00740801"</f>
        <v>00740801</v>
      </c>
      <c r="K1047" s="1" t="str">
        <f>"９２２　　　　　　　　　　　　　　　　　"</f>
        <v>９２２　　　　　　　　　　　　　　　　　</v>
      </c>
      <c r="L1047" s="1"/>
    </row>
    <row r="1048" spans="1:12" ht="18" customHeight="1" x14ac:dyDescent="0.15">
      <c r="A1048" s="11">
        <v>2205</v>
      </c>
      <c r="B1048" s="11" t="s">
        <v>53</v>
      </c>
      <c r="C1048" s="11" t="s">
        <v>156</v>
      </c>
      <c r="D1048" s="11">
        <v>1</v>
      </c>
      <c r="E1048" s="11" t="s">
        <v>4</v>
      </c>
      <c r="F1048" s="12">
        <v>20600</v>
      </c>
      <c r="G1048" s="12">
        <v>20600</v>
      </c>
      <c r="H1048" s="11" t="str">
        <f t="shared" si="36"/>
        <v>平成4年12月5日</v>
      </c>
      <c r="I1048" s="22">
        <f t="shared" si="37"/>
        <v>33943</v>
      </c>
      <c r="J1048" s="1" t="str">
        <f>"00740803"</f>
        <v>00740803</v>
      </c>
      <c r="K1048" s="1" t="str">
        <f>"９２３　　　　　　　　　　　　　　　　　"</f>
        <v>９２３　　　　　　　　　　　　　　　　　</v>
      </c>
      <c r="L1048" s="1"/>
    </row>
    <row r="1049" spans="1:12" ht="18" customHeight="1" x14ac:dyDescent="0.15">
      <c r="A1049" s="11">
        <v>2206</v>
      </c>
      <c r="B1049" s="11" t="s">
        <v>53</v>
      </c>
      <c r="C1049" s="11" t="s">
        <v>156</v>
      </c>
      <c r="D1049" s="11">
        <v>1</v>
      </c>
      <c r="E1049" s="11" t="s">
        <v>4</v>
      </c>
      <c r="F1049" s="12">
        <v>20600</v>
      </c>
      <c r="G1049" s="12">
        <v>20600</v>
      </c>
      <c r="H1049" s="11" t="str">
        <f t="shared" si="36"/>
        <v>平成4年12月5日</v>
      </c>
      <c r="I1049" s="22">
        <f t="shared" si="37"/>
        <v>33943</v>
      </c>
      <c r="J1049" s="1" t="str">
        <f>"00740805"</f>
        <v>00740805</v>
      </c>
      <c r="K1049" s="1" t="str">
        <f>"９２４　　　　　　　　　　　　　　　　　"</f>
        <v>９２４　　　　　　　　　　　　　　　　　</v>
      </c>
      <c r="L1049" s="1"/>
    </row>
    <row r="1050" spans="1:12" ht="18" customHeight="1" x14ac:dyDescent="0.15">
      <c r="A1050" s="11">
        <v>2207</v>
      </c>
      <c r="B1050" s="11" t="s">
        <v>53</v>
      </c>
      <c r="C1050" s="11" t="s">
        <v>156</v>
      </c>
      <c r="D1050" s="11">
        <v>1</v>
      </c>
      <c r="E1050" s="11" t="s">
        <v>4</v>
      </c>
      <c r="F1050" s="12">
        <v>20600</v>
      </c>
      <c r="G1050" s="12">
        <v>20600</v>
      </c>
      <c r="H1050" s="11" t="str">
        <f t="shared" si="36"/>
        <v>平成4年12月5日</v>
      </c>
      <c r="I1050" s="22">
        <f t="shared" si="37"/>
        <v>33943</v>
      </c>
      <c r="J1050" s="1" t="str">
        <f>"00740807"</f>
        <v>00740807</v>
      </c>
      <c r="K1050" s="1" t="str">
        <f>"９２５　　　　　　　　　　　　　　　　　"</f>
        <v>９２５　　　　　　　　　　　　　　　　　</v>
      </c>
      <c r="L1050" s="1"/>
    </row>
    <row r="1051" spans="1:12" ht="18" customHeight="1" x14ac:dyDescent="0.15">
      <c r="A1051" s="11">
        <v>2208</v>
      </c>
      <c r="B1051" s="11" t="s">
        <v>53</v>
      </c>
      <c r="C1051" s="11" t="s">
        <v>156</v>
      </c>
      <c r="D1051" s="11">
        <v>1</v>
      </c>
      <c r="E1051" s="11" t="s">
        <v>4</v>
      </c>
      <c r="F1051" s="12">
        <v>20600</v>
      </c>
      <c r="G1051" s="12">
        <v>20600</v>
      </c>
      <c r="H1051" s="11" t="str">
        <f t="shared" si="36"/>
        <v>平成4年12月5日</v>
      </c>
      <c r="I1051" s="22">
        <f t="shared" si="37"/>
        <v>33943</v>
      </c>
      <c r="J1051" s="1" t="str">
        <f>"00740809"</f>
        <v>00740809</v>
      </c>
      <c r="K1051" s="1" t="str">
        <f>"９２６　　　　　　　　　　　　　　　　　"</f>
        <v>９２６　　　　　　　　　　　　　　　　　</v>
      </c>
      <c r="L1051" s="1"/>
    </row>
    <row r="1052" spans="1:12" ht="18" customHeight="1" x14ac:dyDescent="0.15">
      <c r="A1052" s="11">
        <v>2209</v>
      </c>
      <c r="B1052" s="11" t="s">
        <v>53</v>
      </c>
      <c r="C1052" s="11" t="s">
        <v>156</v>
      </c>
      <c r="D1052" s="11">
        <v>1</v>
      </c>
      <c r="E1052" s="11" t="s">
        <v>4</v>
      </c>
      <c r="F1052" s="12">
        <v>20600</v>
      </c>
      <c r="G1052" s="12">
        <v>20600</v>
      </c>
      <c r="H1052" s="11" t="str">
        <f t="shared" si="36"/>
        <v>平成4年12月5日</v>
      </c>
      <c r="I1052" s="22">
        <f t="shared" si="37"/>
        <v>33943</v>
      </c>
      <c r="J1052" s="1" t="str">
        <f>"00740811"</f>
        <v>00740811</v>
      </c>
      <c r="K1052" s="1" t="str">
        <f>"９２７　　　　　　　　　　　　　　　　　"</f>
        <v>９２７　　　　　　　　　　　　　　　　　</v>
      </c>
      <c r="L1052" s="1"/>
    </row>
    <row r="1053" spans="1:12" ht="18" customHeight="1" x14ac:dyDescent="0.15">
      <c r="A1053" s="11">
        <v>2210</v>
      </c>
      <c r="B1053" s="11" t="s">
        <v>53</v>
      </c>
      <c r="C1053" s="11" t="s">
        <v>156</v>
      </c>
      <c r="D1053" s="11">
        <v>1</v>
      </c>
      <c r="E1053" s="11" t="s">
        <v>4</v>
      </c>
      <c r="F1053" s="12">
        <v>20600</v>
      </c>
      <c r="G1053" s="12">
        <v>20600</v>
      </c>
      <c r="H1053" s="11" t="str">
        <f t="shared" si="36"/>
        <v>平成4年12月5日</v>
      </c>
      <c r="I1053" s="22">
        <f t="shared" si="37"/>
        <v>33943</v>
      </c>
      <c r="J1053" s="1" t="str">
        <f>"00740813"</f>
        <v>00740813</v>
      </c>
      <c r="K1053" s="1" t="str">
        <f>"９２８　　　　　　　　　　　　　　　　　"</f>
        <v>９２８　　　　　　　　　　　　　　　　　</v>
      </c>
      <c r="L1053" s="1"/>
    </row>
    <row r="1054" spans="1:12" ht="18" customHeight="1" x14ac:dyDescent="0.15">
      <c r="A1054" s="11">
        <v>2211</v>
      </c>
      <c r="B1054" s="11" t="s">
        <v>53</v>
      </c>
      <c r="C1054" s="11" t="s">
        <v>156</v>
      </c>
      <c r="D1054" s="11">
        <v>1</v>
      </c>
      <c r="E1054" s="11" t="s">
        <v>4</v>
      </c>
      <c r="F1054" s="12">
        <v>20600</v>
      </c>
      <c r="G1054" s="12">
        <v>20600</v>
      </c>
      <c r="H1054" s="11" t="str">
        <f t="shared" si="36"/>
        <v>平成4年12月5日</v>
      </c>
      <c r="I1054" s="22">
        <f t="shared" si="37"/>
        <v>33943</v>
      </c>
      <c r="J1054" s="1" t="str">
        <f>"00740815"</f>
        <v>00740815</v>
      </c>
      <c r="K1054" s="1" t="str">
        <f>"９２９　　　　　　　　　　　　　　　　　"</f>
        <v>９２９　　　　　　　　　　　　　　　　　</v>
      </c>
      <c r="L1054" s="1"/>
    </row>
    <row r="1055" spans="1:12" ht="18" customHeight="1" x14ac:dyDescent="0.15">
      <c r="A1055" s="11">
        <v>2212</v>
      </c>
      <c r="B1055" s="11" t="s">
        <v>53</v>
      </c>
      <c r="C1055" s="11" t="s">
        <v>156</v>
      </c>
      <c r="D1055" s="11">
        <v>1</v>
      </c>
      <c r="E1055" s="11" t="s">
        <v>4</v>
      </c>
      <c r="F1055" s="12">
        <v>20600</v>
      </c>
      <c r="G1055" s="12">
        <v>20600</v>
      </c>
      <c r="H1055" s="11" t="str">
        <f t="shared" si="36"/>
        <v>平成4年12月5日</v>
      </c>
      <c r="I1055" s="22">
        <f t="shared" si="37"/>
        <v>33943</v>
      </c>
      <c r="J1055" s="1" t="str">
        <f>"00740817"</f>
        <v>00740817</v>
      </c>
      <c r="K1055" s="1" t="str">
        <f>"９３０　　　　　　　　　　　　　　　　　"</f>
        <v>９３０　　　　　　　　　　　　　　　　　</v>
      </c>
      <c r="L1055" s="1"/>
    </row>
    <row r="1056" spans="1:12" ht="18" customHeight="1" x14ac:dyDescent="0.15">
      <c r="A1056" s="11">
        <v>2213</v>
      </c>
      <c r="B1056" s="11" t="s">
        <v>53</v>
      </c>
      <c r="C1056" s="11" t="s">
        <v>156</v>
      </c>
      <c r="D1056" s="11">
        <v>1</v>
      </c>
      <c r="E1056" s="11" t="s">
        <v>4</v>
      </c>
      <c r="F1056" s="12">
        <v>20600</v>
      </c>
      <c r="G1056" s="12">
        <v>20600</v>
      </c>
      <c r="H1056" s="11" t="str">
        <f t="shared" si="36"/>
        <v>平成4年12月5日</v>
      </c>
      <c r="I1056" s="22">
        <f t="shared" si="37"/>
        <v>33943</v>
      </c>
      <c r="J1056" s="1" t="str">
        <f>"00740819"</f>
        <v>00740819</v>
      </c>
      <c r="K1056" s="1" t="str">
        <f>"９３１　　　　　　　　　　　　　　　　　"</f>
        <v>９３１　　　　　　　　　　　　　　　　　</v>
      </c>
      <c r="L1056" s="1"/>
    </row>
    <row r="1057" spans="1:12" ht="18" customHeight="1" x14ac:dyDescent="0.15">
      <c r="A1057" s="11">
        <v>2214</v>
      </c>
      <c r="B1057" s="11" t="s">
        <v>53</v>
      </c>
      <c r="C1057" s="11" t="s">
        <v>156</v>
      </c>
      <c r="D1057" s="11">
        <v>1</v>
      </c>
      <c r="E1057" s="11" t="s">
        <v>4</v>
      </c>
      <c r="F1057" s="12">
        <v>20600</v>
      </c>
      <c r="G1057" s="12">
        <v>20600</v>
      </c>
      <c r="H1057" s="11" t="str">
        <f t="shared" si="36"/>
        <v>平成4年12月5日</v>
      </c>
      <c r="I1057" s="22">
        <f t="shared" si="37"/>
        <v>33943</v>
      </c>
      <c r="J1057" s="1" t="str">
        <f>"00740821"</f>
        <v>00740821</v>
      </c>
      <c r="K1057" s="1" t="str">
        <f>"９３２　　　　　　　　　　　　　　　　　"</f>
        <v>９３２　　　　　　　　　　　　　　　　　</v>
      </c>
      <c r="L1057" s="1"/>
    </row>
    <row r="1058" spans="1:12" ht="18" customHeight="1" x14ac:dyDescent="0.15">
      <c r="A1058" s="11">
        <v>2215</v>
      </c>
      <c r="B1058" s="11" t="s">
        <v>53</v>
      </c>
      <c r="C1058" s="11" t="s">
        <v>156</v>
      </c>
      <c r="D1058" s="11">
        <v>1</v>
      </c>
      <c r="E1058" s="11" t="s">
        <v>4</v>
      </c>
      <c r="F1058" s="12">
        <v>20600</v>
      </c>
      <c r="G1058" s="12">
        <v>20600</v>
      </c>
      <c r="H1058" s="11" t="str">
        <f t="shared" si="36"/>
        <v>平成4年12月5日</v>
      </c>
      <c r="I1058" s="22">
        <f t="shared" si="37"/>
        <v>33943</v>
      </c>
      <c r="J1058" s="1" t="str">
        <f>"00740823"</f>
        <v>00740823</v>
      </c>
      <c r="K1058" s="1" t="str">
        <f>"９３３　　　　　　　　　　　　　　　　　"</f>
        <v>９３３　　　　　　　　　　　　　　　　　</v>
      </c>
      <c r="L1058" s="1"/>
    </row>
    <row r="1059" spans="1:12" ht="18" customHeight="1" x14ac:dyDescent="0.15">
      <c r="A1059" s="11">
        <v>2216</v>
      </c>
      <c r="B1059" s="11" t="s">
        <v>53</v>
      </c>
      <c r="C1059" s="11" t="s">
        <v>156</v>
      </c>
      <c r="D1059" s="11">
        <v>1</v>
      </c>
      <c r="E1059" s="11" t="s">
        <v>4</v>
      </c>
      <c r="F1059" s="12">
        <v>20600</v>
      </c>
      <c r="G1059" s="12">
        <v>20600</v>
      </c>
      <c r="H1059" s="11" t="str">
        <f t="shared" si="36"/>
        <v>平成4年12月5日</v>
      </c>
      <c r="I1059" s="22">
        <f t="shared" si="37"/>
        <v>33943</v>
      </c>
      <c r="J1059" s="1" t="str">
        <f>"00740825"</f>
        <v>00740825</v>
      </c>
      <c r="K1059" s="1" t="str">
        <f>"９３４　　　　　　　　　　　　　　　　　"</f>
        <v>９３４　　　　　　　　　　　　　　　　　</v>
      </c>
      <c r="L1059" s="1"/>
    </row>
    <row r="1060" spans="1:12" ht="18" customHeight="1" x14ac:dyDescent="0.15">
      <c r="A1060" s="11">
        <v>2217</v>
      </c>
      <c r="B1060" s="11" t="s">
        <v>53</v>
      </c>
      <c r="C1060" s="11" t="s">
        <v>156</v>
      </c>
      <c r="D1060" s="11">
        <v>1</v>
      </c>
      <c r="E1060" s="11" t="s">
        <v>4</v>
      </c>
      <c r="F1060" s="12">
        <v>20600</v>
      </c>
      <c r="G1060" s="12">
        <v>20600</v>
      </c>
      <c r="H1060" s="11" t="str">
        <f t="shared" si="36"/>
        <v>平成4年12月5日</v>
      </c>
      <c r="I1060" s="22">
        <f t="shared" si="37"/>
        <v>33943</v>
      </c>
      <c r="J1060" s="1" t="str">
        <f>"00740827"</f>
        <v>00740827</v>
      </c>
      <c r="K1060" s="1" t="str">
        <f>"９３５　　　　　　　　　　　　　　　　　"</f>
        <v>９３５　　　　　　　　　　　　　　　　　</v>
      </c>
      <c r="L1060" s="1"/>
    </row>
    <row r="1061" spans="1:12" ht="18" customHeight="1" x14ac:dyDescent="0.15">
      <c r="A1061" s="11">
        <v>2218</v>
      </c>
      <c r="B1061" s="11" t="s">
        <v>53</v>
      </c>
      <c r="C1061" s="11" t="s">
        <v>156</v>
      </c>
      <c r="D1061" s="11">
        <v>1</v>
      </c>
      <c r="E1061" s="11" t="s">
        <v>4</v>
      </c>
      <c r="F1061" s="12">
        <v>20600</v>
      </c>
      <c r="G1061" s="12">
        <v>20600</v>
      </c>
      <c r="H1061" s="11" t="str">
        <f t="shared" si="36"/>
        <v>平成4年12月5日</v>
      </c>
      <c r="I1061" s="22">
        <f t="shared" si="37"/>
        <v>33943</v>
      </c>
      <c r="J1061" s="1" t="str">
        <f>"00740829"</f>
        <v>00740829</v>
      </c>
      <c r="K1061" s="1" t="str">
        <f>"９３６　　　　　　　　　　　　　　　　　"</f>
        <v>９３６　　　　　　　　　　　　　　　　　</v>
      </c>
      <c r="L1061" s="1"/>
    </row>
    <row r="1062" spans="1:12" ht="18" customHeight="1" x14ac:dyDescent="0.15">
      <c r="A1062" s="11">
        <v>2219</v>
      </c>
      <c r="B1062" s="11" t="s">
        <v>53</v>
      </c>
      <c r="C1062" s="11" t="s">
        <v>156</v>
      </c>
      <c r="D1062" s="11">
        <v>1</v>
      </c>
      <c r="E1062" s="11" t="s">
        <v>4</v>
      </c>
      <c r="F1062" s="12">
        <v>20600</v>
      </c>
      <c r="G1062" s="12">
        <v>20600</v>
      </c>
      <c r="H1062" s="11" t="str">
        <f t="shared" si="36"/>
        <v>平成4年12月5日</v>
      </c>
      <c r="I1062" s="22">
        <f t="shared" si="37"/>
        <v>33943</v>
      </c>
      <c r="J1062" s="1" t="str">
        <f>"00740830"</f>
        <v>00740830</v>
      </c>
      <c r="K1062" s="1" t="str">
        <f>"９３７　　　　　　　　　　　　　　　　　"</f>
        <v>９３７　　　　　　　　　　　　　　　　　</v>
      </c>
      <c r="L1062" s="1"/>
    </row>
    <row r="1063" spans="1:12" ht="18" customHeight="1" x14ac:dyDescent="0.15">
      <c r="A1063" s="11">
        <v>2220</v>
      </c>
      <c r="B1063" s="11" t="s">
        <v>53</v>
      </c>
      <c r="C1063" s="11" t="s">
        <v>156</v>
      </c>
      <c r="D1063" s="11">
        <v>1</v>
      </c>
      <c r="E1063" s="11" t="s">
        <v>4</v>
      </c>
      <c r="F1063" s="12">
        <v>20600</v>
      </c>
      <c r="G1063" s="12">
        <v>20600</v>
      </c>
      <c r="H1063" s="11" t="str">
        <f t="shared" si="36"/>
        <v>平成4年12月5日</v>
      </c>
      <c r="I1063" s="22">
        <f t="shared" si="37"/>
        <v>33943</v>
      </c>
      <c r="J1063" s="1" t="str">
        <f>"00740832"</f>
        <v>00740832</v>
      </c>
      <c r="K1063" s="1" t="str">
        <f>"９３８　　　　　　　　　　　　　　　　　"</f>
        <v>９３８　　　　　　　　　　　　　　　　　</v>
      </c>
      <c r="L1063" s="1"/>
    </row>
    <row r="1064" spans="1:12" ht="18" customHeight="1" x14ac:dyDescent="0.15">
      <c r="A1064" s="11">
        <v>2221</v>
      </c>
      <c r="B1064" s="11" t="s">
        <v>53</v>
      </c>
      <c r="C1064" s="11" t="s">
        <v>156</v>
      </c>
      <c r="D1064" s="11">
        <v>1</v>
      </c>
      <c r="E1064" s="11" t="s">
        <v>4</v>
      </c>
      <c r="F1064" s="12">
        <v>20600</v>
      </c>
      <c r="G1064" s="12">
        <v>20600</v>
      </c>
      <c r="H1064" s="11" t="str">
        <f t="shared" si="36"/>
        <v>平成4年12月5日</v>
      </c>
      <c r="I1064" s="22">
        <f t="shared" si="37"/>
        <v>33943</v>
      </c>
      <c r="J1064" s="1" t="str">
        <f>"00740834"</f>
        <v>00740834</v>
      </c>
      <c r="K1064" s="1" t="str">
        <f>"９３９　　　　　　　　　　　　　　　　　"</f>
        <v>９３９　　　　　　　　　　　　　　　　　</v>
      </c>
      <c r="L1064" s="1"/>
    </row>
    <row r="1065" spans="1:12" ht="18" customHeight="1" x14ac:dyDescent="0.15">
      <c r="A1065" s="11">
        <v>2222</v>
      </c>
      <c r="B1065" s="11" t="s">
        <v>53</v>
      </c>
      <c r="C1065" s="11" t="s">
        <v>156</v>
      </c>
      <c r="D1065" s="11">
        <v>1</v>
      </c>
      <c r="E1065" s="11" t="s">
        <v>4</v>
      </c>
      <c r="F1065" s="12">
        <v>20600</v>
      </c>
      <c r="G1065" s="12">
        <v>20600</v>
      </c>
      <c r="H1065" s="11" t="str">
        <f t="shared" si="36"/>
        <v>平成4年12月5日</v>
      </c>
      <c r="I1065" s="22">
        <f t="shared" si="37"/>
        <v>33943</v>
      </c>
      <c r="J1065" s="1" t="str">
        <f>"00740836"</f>
        <v>00740836</v>
      </c>
      <c r="K1065" s="1" t="str">
        <f>"９４０　　　　　　　　　　　　　　　　　"</f>
        <v>９４０　　　　　　　　　　　　　　　　　</v>
      </c>
      <c r="L1065" s="1"/>
    </row>
    <row r="1066" spans="1:12" ht="18" customHeight="1" x14ac:dyDescent="0.15">
      <c r="A1066" s="11">
        <v>2223</v>
      </c>
      <c r="B1066" s="11" t="s">
        <v>53</v>
      </c>
      <c r="C1066" s="11" t="s">
        <v>156</v>
      </c>
      <c r="D1066" s="11">
        <v>1</v>
      </c>
      <c r="E1066" s="11" t="s">
        <v>4</v>
      </c>
      <c r="F1066" s="12">
        <v>20600</v>
      </c>
      <c r="G1066" s="12">
        <v>20600</v>
      </c>
      <c r="H1066" s="11" t="str">
        <f t="shared" si="36"/>
        <v>平成4年12月5日</v>
      </c>
      <c r="I1066" s="22">
        <f t="shared" si="37"/>
        <v>33943</v>
      </c>
      <c r="J1066" s="1" t="str">
        <f>"00740838"</f>
        <v>00740838</v>
      </c>
      <c r="K1066" s="1" t="str">
        <f>"９４１　　　　　　　　　　　　　　　　　"</f>
        <v>９４１　　　　　　　　　　　　　　　　　</v>
      </c>
      <c r="L1066" s="1"/>
    </row>
    <row r="1067" spans="1:12" ht="18" customHeight="1" x14ac:dyDescent="0.15">
      <c r="A1067" s="11">
        <v>2224</v>
      </c>
      <c r="B1067" s="11" t="s">
        <v>53</v>
      </c>
      <c r="C1067" s="11" t="s">
        <v>156</v>
      </c>
      <c r="D1067" s="11">
        <v>1</v>
      </c>
      <c r="E1067" s="11" t="s">
        <v>4</v>
      </c>
      <c r="F1067" s="12">
        <v>20600</v>
      </c>
      <c r="G1067" s="12">
        <v>20600</v>
      </c>
      <c r="H1067" s="11" t="str">
        <f t="shared" si="36"/>
        <v>平成4年12月5日</v>
      </c>
      <c r="I1067" s="22">
        <f t="shared" si="37"/>
        <v>33943</v>
      </c>
      <c r="J1067" s="1" t="str">
        <f>"00740840"</f>
        <v>00740840</v>
      </c>
      <c r="K1067" s="1" t="str">
        <f>"９４２　　　　　　　　　　　　　　　　　"</f>
        <v>９４２　　　　　　　　　　　　　　　　　</v>
      </c>
      <c r="L1067" s="1"/>
    </row>
    <row r="1068" spans="1:12" ht="18" customHeight="1" x14ac:dyDescent="0.15">
      <c r="A1068" s="11">
        <v>2225</v>
      </c>
      <c r="B1068" s="11" t="s">
        <v>53</v>
      </c>
      <c r="C1068" s="11" t="s">
        <v>156</v>
      </c>
      <c r="D1068" s="11">
        <v>1</v>
      </c>
      <c r="E1068" s="11" t="s">
        <v>4</v>
      </c>
      <c r="F1068" s="12">
        <v>20600</v>
      </c>
      <c r="G1068" s="12">
        <v>20600</v>
      </c>
      <c r="H1068" s="11" t="str">
        <f t="shared" si="36"/>
        <v>平成4年12月5日</v>
      </c>
      <c r="I1068" s="22">
        <f t="shared" si="37"/>
        <v>33943</v>
      </c>
      <c r="J1068" s="1" t="str">
        <f>"00740842"</f>
        <v>00740842</v>
      </c>
      <c r="K1068" s="1" t="str">
        <f>"９４３　　　　　　　　　　　　　　　　　"</f>
        <v>９４３　　　　　　　　　　　　　　　　　</v>
      </c>
      <c r="L1068" s="1"/>
    </row>
    <row r="1069" spans="1:12" ht="18" customHeight="1" x14ac:dyDescent="0.15">
      <c r="A1069" s="11">
        <v>2226</v>
      </c>
      <c r="B1069" s="11" t="s">
        <v>53</v>
      </c>
      <c r="C1069" s="11" t="s">
        <v>156</v>
      </c>
      <c r="D1069" s="11">
        <v>1</v>
      </c>
      <c r="E1069" s="11" t="s">
        <v>4</v>
      </c>
      <c r="F1069" s="12">
        <v>20600</v>
      </c>
      <c r="G1069" s="12">
        <v>20600</v>
      </c>
      <c r="H1069" s="11" t="str">
        <f t="shared" si="36"/>
        <v>平成4年12月5日</v>
      </c>
      <c r="I1069" s="22">
        <f t="shared" si="37"/>
        <v>33943</v>
      </c>
      <c r="J1069" s="1" t="str">
        <f>"00740844"</f>
        <v>00740844</v>
      </c>
      <c r="K1069" s="1" t="str">
        <f>"９４４　　　　　　　　　　　　　　　　　"</f>
        <v>９４４　　　　　　　　　　　　　　　　　</v>
      </c>
      <c r="L1069" s="1"/>
    </row>
    <row r="1070" spans="1:12" ht="18" customHeight="1" x14ac:dyDescent="0.15">
      <c r="A1070" s="11">
        <v>2227</v>
      </c>
      <c r="B1070" s="11" t="s">
        <v>53</v>
      </c>
      <c r="C1070" s="11" t="s">
        <v>156</v>
      </c>
      <c r="D1070" s="11">
        <v>1</v>
      </c>
      <c r="E1070" s="11" t="s">
        <v>4</v>
      </c>
      <c r="F1070" s="12">
        <v>20600</v>
      </c>
      <c r="G1070" s="12">
        <v>20600</v>
      </c>
      <c r="H1070" s="11" t="str">
        <f t="shared" ref="H1070:H1133" si="38">"平成4年12月5日"</f>
        <v>平成4年12月5日</v>
      </c>
      <c r="I1070" s="22">
        <f t="shared" si="37"/>
        <v>33943</v>
      </c>
      <c r="J1070" s="1" t="str">
        <f>"00740846"</f>
        <v>00740846</v>
      </c>
      <c r="K1070" s="1" t="str">
        <f>"９４５　　　　　　　　　　　　　　　　　"</f>
        <v>９４５　　　　　　　　　　　　　　　　　</v>
      </c>
      <c r="L1070" s="1"/>
    </row>
    <row r="1071" spans="1:12" ht="18" customHeight="1" x14ac:dyDescent="0.15">
      <c r="A1071" s="11">
        <v>2228</v>
      </c>
      <c r="B1071" s="11" t="s">
        <v>53</v>
      </c>
      <c r="C1071" s="11" t="s">
        <v>156</v>
      </c>
      <c r="D1071" s="11">
        <v>1</v>
      </c>
      <c r="E1071" s="11" t="s">
        <v>4</v>
      </c>
      <c r="F1071" s="12">
        <v>20600</v>
      </c>
      <c r="G1071" s="12">
        <v>20600</v>
      </c>
      <c r="H1071" s="11" t="str">
        <f t="shared" si="38"/>
        <v>平成4年12月5日</v>
      </c>
      <c r="I1071" s="22">
        <f t="shared" si="37"/>
        <v>33943</v>
      </c>
      <c r="J1071" s="1" t="str">
        <f>"00740848"</f>
        <v>00740848</v>
      </c>
      <c r="K1071" s="1" t="str">
        <f>"９４６　　　　　　　　　　　　　　　　　"</f>
        <v>９４６　　　　　　　　　　　　　　　　　</v>
      </c>
      <c r="L1071" s="1"/>
    </row>
    <row r="1072" spans="1:12" ht="18" customHeight="1" x14ac:dyDescent="0.15">
      <c r="A1072" s="11">
        <v>2229</v>
      </c>
      <c r="B1072" s="11" t="s">
        <v>53</v>
      </c>
      <c r="C1072" s="11" t="s">
        <v>156</v>
      </c>
      <c r="D1072" s="11">
        <v>1</v>
      </c>
      <c r="E1072" s="11" t="s">
        <v>4</v>
      </c>
      <c r="F1072" s="12">
        <v>20600</v>
      </c>
      <c r="G1072" s="12">
        <v>20600</v>
      </c>
      <c r="H1072" s="11" t="str">
        <f t="shared" si="38"/>
        <v>平成4年12月5日</v>
      </c>
      <c r="I1072" s="22">
        <f t="shared" si="37"/>
        <v>33943</v>
      </c>
      <c r="J1072" s="1" t="str">
        <f>"00740850"</f>
        <v>00740850</v>
      </c>
      <c r="K1072" s="1" t="str">
        <f>"９４７　　　　　　　　　　　　　　　　　"</f>
        <v>９４７　　　　　　　　　　　　　　　　　</v>
      </c>
      <c r="L1072" s="1"/>
    </row>
    <row r="1073" spans="1:12" ht="18" customHeight="1" x14ac:dyDescent="0.15">
      <c r="A1073" s="11">
        <v>2230</v>
      </c>
      <c r="B1073" s="11" t="s">
        <v>53</v>
      </c>
      <c r="C1073" s="11" t="s">
        <v>156</v>
      </c>
      <c r="D1073" s="11">
        <v>1</v>
      </c>
      <c r="E1073" s="11" t="s">
        <v>4</v>
      </c>
      <c r="F1073" s="12">
        <v>20600</v>
      </c>
      <c r="G1073" s="12">
        <v>20600</v>
      </c>
      <c r="H1073" s="11" t="str">
        <f t="shared" si="38"/>
        <v>平成4年12月5日</v>
      </c>
      <c r="I1073" s="22">
        <f t="shared" si="37"/>
        <v>33943</v>
      </c>
      <c r="J1073" s="1" t="str">
        <f>"00740852"</f>
        <v>00740852</v>
      </c>
      <c r="K1073" s="1" t="str">
        <f>"９４８　　　　　　　　　　　　　　　　　"</f>
        <v>９４８　　　　　　　　　　　　　　　　　</v>
      </c>
      <c r="L1073" s="1"/>
    </row>
    <row r="1074" spans="1:12" ht="18" customHeight="1" x14ac:dyDescent="0.15">
      <c r="A1074" s="11">
        <v>2231</v>
      </c>
      <c r="B1074" s="11" t="s">
        <v>53</v>
      </c>
      <c r="C1074" s="11" t="s">
        <v>156</v>
      </c>
      <c r="D1074" s="11">
        <v>1</v>
      </c>
      <c r="E1074" s="11" t="s">
        <v>4</v>
      </c>
      <c r="F1074" s="12">
        <v>20600</v>
      </c>
      <c r="G1074" s="12">
        <v>20600</v>
      </c>
      <c r="H1074" s="11" t="str">
        <f t="shared" si="38"/>
        <v>平成4年12月5日</v>
      </c>
      <c r="I1074" s="22">
        <f t="shared" si="37"/>
        <v>33943</v>
      </c>
      <c r="J1074" s="1" t="str">
        <f>"00740854"</f>
        <v>00740854</v>
      </c>
      <c r="K1074" s="1" t="str">
        <f>"９４９　　　　　　　　　　　　　　　　　"</f>
        <v>９４９　　　　　　　　　　　　　　　　　</v>
      </c>
      <c r="L1074" s="1"/>
    </row>
    <row r="1075" spans="1:12" ht="18" customHeight="1" x14ac:dyDescent="0.15">
      <c r="A1075" s="11">
        <v>2232</v>
      </c>
      <c r="B1075" s="11" t="s">
        <v>53</v>
      </c>
      <c r="C1075" s="11" t="s">
        <v>156</v>
      </c>
      <c r="D1075" s="11">
        <v>1</v>
      </c>
      <c r="E1075" s="11" t="s">
        <v>4</v>
      </c>
      <c r="F1075" s="12">
        <v>20600</v>
      </c>
      <c r="G1075" s="12">
        <v>20600</v>
      </c>
      <c r="H1075" s="11" t="str">
        <f t="shared" si="38"/>
        <v>平成4年12月5日</v>
      </c>
      <c r="I1075" s="22">
        <f t="shared" si="37"/>
        <v>33943</v>
      </c>
      <c r="J1075" s="1" t="str">
        <f>"00740856"</f>
        <v>00740856</v>
      </c>
      <c r="K1075" s="1" t="str">
        <f>"９５０　　　　　　　　　　　　　　　　　"</f>
        <v>９５０　　　　　　　　　　　　　　　　　</v>
      </c>
      <c r="L1075" s="1"/>
    </row>
    <row r="1076" spans="1:12" ht="18" customHeight="1" x14ac:dyDescent="0.15">
      <c r="A1076" s="11">
        <v>2233</v>
      </c>
      <c r="B1076" s="11" t="s">
        <v>53</v>
      </c>
      <c r="C1076" s="11" t="s">
        <v>156</v>
      </c>
      <c r="D1076" s="11">
        <v>1</v>
      </c>
      <c r="E1076" s="11" t="s">
        <v>4</v>
      </c>
      <c r="F1076" s="12">
        <v>20600</v>
      </c>
      <c r="G1076" s="12">
        <v>20600</v>
      </c>
      <c r="H1076" s="11" t="str">
        <f t="shared" si="38"/>
        <v>平成4年12月5日</v>
      </c>
      <c r="I1076" s="22">
        <f t="shared" si="37"/>
        <v>33943</v>
      </c>
      <c r="J1076" s="1" t="str">
        <f>"00740858"</f>
        <v>00740858</v>
      </c>
      <c r="K1076" s="1" t="str">
        <f>"９５１　　　　　　　　　　　　　　　　　"</f>
        <v>９５１　　　　　　　　　　　　　　　　　</v>
      </c>
      <c r="L1076" s="1"/>
    </row>
    <row r="1077" spans="1:12" ht="18" customHeight="1" x14ac:dyDescent="0.15">
      <c r="A1077" s="11">
        <v>2234</v>
      </c>
      <c r="B1077" s="11" t="s">
        <v>53</v>
      </c>
      <c r="C1077" s="11" t="s">
        <v>156</v>
      </c>
      <c r="D1077" s="11">
        <v>1</v>
      </c>
      <c r="E1077" s="11" t="s">
        <v>4</v>
      </c>
      <c r="F1077" s="12">
        <v>20600</v>
      </c>
      <c r="G1077" s="12">
        <v>20600</v>
      </c>
      <c r="H1077" s="11" t="str">
        <f t="shared" si="38"/>
        <v>平成4年12月5日</v>
      </c>
      <c r="I1077" s="22">
        <f t="shared" si="37"/>
        <v>33943</v>
      </c>
      <c r="J1077" s="1" t="str">
        <f>"00740860"</f>
        <v>00740860</v>
      </c>
      <c r="K1077" s="1" t="str">
        <f>"９５２　　　　　　　　　　　　　　　　　"</f>
        <v>９５２　　　　　　　　　　　　　　　　　</v>
      </c>
      <c r="L1077" s="1"/>
    </row>
    <row r="1078" spans="1:12" ht="18" customHeight="1" x14ac:dyDescent="0.15">
      <c r="A1078" s="11">
        <v>2235</v>
      </c>
      <c r="B1078" s="11" t="s">
        <v>53</v>
      </c>
      <c r="C1078" s="11" t="s">
        <v>156</v>
      </c>
      <c r="D1078" s="11">
        <v>1</v>
      </c>
      <c r="E1078" s="11" t="s">
        <v>4</v>
      </c>
      <c r="F1078" s="12">
        <v>20600</v>
      </c>
      <c r="G1078" s="12">
        <v>20600</v>
      </c>
      <c r="H1078" s="11" t="str">
        <f t="shared" si="38"/>
        <v>平成4年12月5日</v>
      </c>
      <c r="I1078" s="22">
        <f t="shared" si="37"/>
        <v>33943</v>
      </c>
      <c r="J1078" s="1" t="str">
        <f>"00740862"</f>
        <v>00740862</v>
      </c>
      <c r="K1078" s="1" t="str">
        <f>"９５３　　　　　　　　　　　　　　　　　"</f>
        <v>９５３　　　　　　　　　　　　　　　　　</v>
      </c>
      <c r="L1078" s="1"/>
    </row>
    <row r="1079" spans="1:12" ht="18" customHeight="1" x14ac:dyDescent="0.15">
      <c r="A1079" s="11">
        <v>2236</v>
      </c>
      <c r="B1079" s="11" t="s">
        <v>53</v>
      </c>
      <c r="C1079" s="11" t="s">
        <v>156</v>
      </c>
      <c r="D1079" s="11">
        <v>1</v>
      </c>
      <c r="E1079" s="11" t="s">
        <v>4</v>
      </c>
      <c r="F1079" s="12">
        <v>20600</v>
      </c>
      <c r="G1079" s="12">
        <v>20600</v>
      </c>
      <c r="H1079" s="11" t="str">
        <f t="shared" si="38"/>
        <v>平成4年12月5日</v>
      </c>
      <c r="I1079" s="22">
        <f t="shared" si="37"/>
        <v>33943</v>
      </c>
      <c r="J1079" s="1" t="str">
        <f>"00740864"</f>
        <v>00740864</v>
      </c>
      <c r="K1079" s="1" t="str">
        <f>"９５４　　　　　　　　　　　　　　　　　"</f>
        <v>９５４　　　　　　　　　　　　　　　　　</v>
      </c>
      <c r="L1079" s="1"/>
    </row>
    <row r="1080" spans="1:12" ht="18" customHeight="1" x14ac:dyDescent="0.15">
      <c r="A1080" s="11">
        <v>2237</v>
      </c>
      <c r="B1080" s="11" t="s">
        <v>53</v>
      </c>
      <c r="C1080" s="11" t="s">
        <v>156</v>
      </c>
      <c r="D1080" s="11">
        <v>1</v>
      </c>
      <c r="E1080" s="11" t="s">
        <v>4</v>
      </c>
      <c r="F1080" s="12">
        <v>20600</v>
      </c>
      <c r="G1080" s="12">
        <v>20600</v>
      </c>
      <c r="H1080" s="11" t="str">
        <f t="shared" si="38"/>
        <v>平成4年12月5日</v>
      </c>
      <c r="I1080" s="22">
        <f t="shared" si="37"/>
        <v>33943</v>
      </c>
      <c r="J1080" s="1" t="str">
        <f>"00740866"</f>
        <v>00740866</v>
      </c>
      <c r="K1080" s="1" t="str">
        <f>"９５５　　　　　　　　　　　　　　　　　"</f>
        <v>９５５　　　　　　　　　　　　　　　　　</v>
      </c>
      <c r="L1080" s="1"/>
    </row>
    <row r="1081" spans="1:12" ht="18" customHeight="1" x14ac:dyDescent="0.15">
      <c r="A1081" s="11">
        <v>2238</v>
      </c>
      <c r="B1081" s="11" t="s">
        <v>53</v>
      </c>
      <c r="C1081" s="11" t="s">
        <v>156</v>
      </c>
      <c r="D1081" s="11">
        <v>1</v>
      </c>
      <c r="E1081" s="11" t="s">
        <v>4</v>
      </c>
      <c r="F1081" s="12">
        <v>20600</v>
      </c>
      <c r="G1081" s="12">
        <v>20600</v>
      </c>
      <c r="H1081" s="11" t="str">
        <f t="shared" si="38"/>
        <v>平成4年12月5日</v>
      </c>
      <c r="I1081" s="22">
        <f t="shared" si="37"/>
        <v>33943</v>
      </c>
      <c r="J1081" s="1" t="str">
        <f>"00740868"</f>
        <v>00740868</v>
      </c>
      <c r="K1081" s="1" t="str">
        <f>"９５６　　　　　　　　　　　　　　　　　"</f>
        <v>９５６　　　　　　　　　　　　　　　　　</v>
      </c>
      <c r="L1081" s="1"/>
    </row>
    <row r="1082" spans="1:12" ht="18" customHeight="1" x14ac:dyDescent="0.15">
      <c r="A1082" s="11">
        <v>2239</v>
      </c>
      <c r="B1082" s="11" t="s">
        <v>53</v>
      </c>
      <c r="C1082" s="11" t="s">
        <v>156</v>
      </c>
      <c r="D1082" s="11">
        <v>1</v>
      </c>
      <c r="E1082" s="11" t="s">
        <v>4</v>
      </c>
      <c r="F1082" s="12">
        <v>20600</v>
      </c>
      <c r="G1082" s="12">
        <v>20600</v>
      </c>
      <c r="H1082" s="11" t="str">
        <f t="shared" si="38"/>
        <v>平成4年12月5日</v>
      </c>
      <c r="I1082" s="22">
        <f t="shared" si="37"/>
        <v>33943</v>
      </c>
      <c r="J1082" s="1" t="str">
        <f>"00740870"</f>
        <v>00740870</v>
      </c>
      <c r="K1082" s="1" t="str">
        <f>"９５７　　　　　　　　　　　　　　　　　"</f>
        <v>９５７　　　　　　　　　　　　　　　　　</v>
      </c>
      <c r="L1082" s="1"/>
    </row>
    <row r="1083" spans="1:12" ht="18" customHeight="1" x14ac:dyDescent="0.15">
      <c r="A1083" s="11">
        <v>2240</v>
      </c>
      <c r="B1083" s="11" t="s">
        <v>53</v>
      </c>
      <c r="C1083" s="11" t="s">
        <v>156</v>
      </c>
      <c r="D1083" s="11">
        <v>1</v>
      </c>
      <c r="E1083" s="11" t="s">
        <v>4</v>
      </c>
      <c r="F1083" s="12">
        <v>20600</v>
      </c>
      <c r="G1083" s="12">
        <v>20600</v>
      </c>
      <c r="H1083" s="11" t="str">
        <f t="shared" si="38"/>
        <v>平成4年12月5日</v>
      </c>
      <c r="I1083" s="22">
        <f t="shared" si="37"/>
        <v>33943</v>
      </c>
      <c r="J1083" s="1" t="str">
        <f>"00740872"</f>
        <v>00740872</v>
      </c>
      <c r="K1083" s="1" t="str">
        <f>"９５８　　　　　　　　　　　　　　　　　"</f>
        <v>９５８　　　　　　　　　　　　　　　　　</v>
      </c>
      <c r="L1083" s="1"/>
    </row>
    <row r="1084" spans="1:12" ht="18" customHeight="1" x14ac:dyDescent="0.15">
      <c r="A1084" s="11">
        <v>2241</v>
      </c>
      <c r="B1084" s="11" t="s">
        <v>53</v>
      </c>
      <c r="C1084" s="11" t="s">
        <v>156</v>
      </c>
      <c r="D1084" s="11">
        <v>1</v>
      </c>
      <c r="E1084" s="11" t="s">
        <v>4</v>
      </c>
      <c r="F1084" s="12">
        <v>20600</v>
      </c>
      <c r="G1084" s="12">
        <v>20600</v>
      </c>
      <c r="H1084" s="11" t="str">
        <f t="shared" si="38"/>
        <v>平成4年12月5日</v>
      </c>
      <c r="I1084" s="22">
        <f t="shared" si="37"/>
        <v>33943</v>
      </c>
      <c r="J1084" s="1" t="str">
        <f>"00740874"</f>
        <v>00740874</v>
      </c>
      <c r="K1084" s="1" t="str">
        <f>"９５９　　　　　　　　　　　　　　　　　"</f>
        <v>９５９　　　　　　　　　　　　　　　　　</v>
      </c>
      <c r="L1084" s="1"/>
    </row>
    <row r="1085" spans="1:12" ht="18" customHeight="1" x14ac:dyDescent="0.15">
      <c r="A1085" s="11">
        <v>2242</v>
      </c>
      <c r="B1085" s="11" t="s">
        <v>53</v>
      </c>
      <c r="C1085" s="11" t="s">
        <v>156</v>
      </c>
      <c r="D1085" s="11">
        <v>1</v>
      </c>
      <c r="E1085" s="11" t="s">
        <v>4</v>
      </c>
      <c r="F1085" s="12">
        <v>20600</v>
      </c>
      <c r="G1085" s="12">
        <v>20600</v>
      </c>
      <c r="H1085" s="11" t="str">
        <f t="shared" si="38"/>
        <v>平成4年12月5日</v>
      </c>
      <c r="I1085" s="22">
        <f t="shared" si="37"/>
        <v>33943</v>
      </c>
      <c r="J1085" s="1" t="str">
        <f>"00740876"</f>
        <v>00740876</v>
      </c>
      <c r="K1085" s="1" t="str">
        <f>"９６０　　　　　　　　　　　　　　　　　"</f>
        <v>９６０　　　　　　　　　　　　　　　　　</v>
      </c>
      <c r="L1085" s="1"/>
    </row>
    <row r="1086" spans="1:12" ht="18" customHeight="1" x14ac:dyDescent="0.15">
      <c r="A1086" s="11">
        <v>2243</v>
      </c>
      <c r="B1086" s="11" t="s">
        <v>53</v>
      </c>
      <c r="C1086" s="11" t="s">
        <v>156</v>
      </c>
      <c r="D1086" s="11">
        <v>1</v>
      </c>
      <c r="E1086" s="11" t="s">
        <v>4</v>
      </c>
      <c r="F1086" s="12">
        <v>20600</v>
      </c>
      <c r="G1086" s="12">
        <v>20600</v>
      </c>
      <c r="H1086" s="11" t="str">
        <f t="shared" si="38"/>
        <v>平成4年12月5日</v>
      </c>
      <c r="I1086" s="22">
        <f t="shared" si="37"/>
        <v>33943</v>
      </c>
      <c r="J1086" s="1" t="str">
        <f>"00740879"</f>
        <v>00740879</v>
      </c>
      <c r="K1086" s="1" t="str">
        <f>"９６１　　　　　　　　　　　　　　　　　"</f>
        <v>９６１　　　　　　　　　　　　　　　　　</v>
      </c>
      <c r="L1086" s="1"/>
    </row>
    <row r="1087" spans="1:12" ht="18" customHeight="1" x14ac:dyDescent="0.15">
      <c r="A1087" s="11">
        <v>2244</v>
      </c>
      <c r="B1087" s="11" t="s">
        <v>53</v>
      </c>
      <c r="C1087" s="11" t="s">
        <v>156</v>
      </c>
      <c r="D1087" s="11">
        <v>1</v>
      </c>
      <c r="E1087" s="11" t="s">
        <v>4</v>
      </c>
      <c r="F1087" s="12">
        <v>20600</v>
      </c>
      <c r="G1087" s="12">
        <v>20600</v>
      </c>
      <c r="H1087" s="11" t="str">
        <f t="shared" si="38"/>
        <v>平成4年12月5日</v>
      </c>
      <c r="I1087" s="22">
        <f t="shared" si="37"/>
        <v>33943</v>
      </c>
      <c r="J1087" s="1" t="str">
        <f>"00740881"</f>
        <v>00740881</v>
      </c>
      <c r="K1087" s="1" t="str">
        <f>"９６２　　　　　　　　　　　　　　　　　"</f>
        <v>９６２　　　　　　　　　　　　　　　　　</v>
      </c>
      <c r="L1087" s="1"/>
    </row>
    <row r="1088" spans="1:12" ht="18" customHeight="1" x14ac:dyDescent="0.15">
      <c r="A1088" s="11">
        <v>2245</v>
      </c>
      <c r="B1088" s="11" t="s">
        <v>53</v>
      </c>
      <c r="C1088" s="11" t="s">
        <v>156</v>
      </c>
      <c r="D1088" s="11">
        <v>1</v>
      </c>
      <c r="E1088" s="11" t="s">
        <v>4</v>
      </c>
      <c r="F1088" s="12">
        <v>20600</v>
      </c>
      <c r="G1088" s="12">
        <v>20600</v>
      </c>
      <c r="H1088" s="11" t="str">
        <f t="shared" si="38"/>
        <v>平成4年12月5日</v>
      </c>
      <c r="I1088" s="22">
        <f t="shared" si="37"/>
        <v>33943</v>
      </c>
      <c r="J1088" s="1" t="str">
        <f>"00740883"</f>
        <v>00740883</v>
      </c>
      <c r="K1088" s="1" t="str">
        <f>"９６３　　　　　　　　　　　　　　　　　"</f>
        <v>９６３　　　　　　　　　　　　　　　　　</v>
      </c>
      <c r="L1088" s="1"/>
    </row>
    <row r="1089" spans="1:12" ht="18" customHeight="1" x14ac:dyDescent="0.15">
      <c r="A1089" s="11">
        <v>2246</v>
      </c>
      <c r="B1089" s="11" t="s">
        <v>53</v>
      </c>
      <c r="C1089" s="11" t="s">
        <v>156</v>
      </c>
      <c r="D1089" s="11">
        <v>1</v>
      </c>
      <c r="E1089" s="11" t="s">
        <v>4</v>
      </c>
      <c r="F1089" s="12">
        <v>20600</v>
      </c>
      <c r="G1089" s="12">
        <v>20600</v>
      </c>
      <c r="H1089" s="11" t="str">
        <f t="shared" si="38"/>
        <v>平成4年12月5日</v>
      </c>
      <c r="I1089" s="22">
        <f t="shared" si="37"/>
        <v>33943</v>
      </c>
      <c r="J1089" s="1" t="str">
        <f>"00740885"</f>
        <v>00740885</v>
      </c>
      <c r="K1089" s="1" t="str">
        <f>"９６４　　　　　　　　　　　　　　　　　"</f>
        <v>９６４　　　　　　　　　　　　　　　　　</v>
      </c>
      <c r="L1089" s="1"/>
    </row>
    <row r="1090" spans="1:12" ht="18" customHeight="1" x14ac:dyDescent="0.15">
      <c r="A1090" s="11">
        <v>2247</v>
      </c>
      <c r="B1090" s="11" t="s">
        <v>53</v>
      </c>
      <c r="C1090" s="11" t="s">
        <v>156</v>
      </c>
      <c r="D1090" s="11">
        <v>1</v>
      </c>
      <c r="E1090" s="11" t="s">
        <v>4</v>
      </c>
      <c r="F1090" s="12">
        <v>20600</v>
      </c>
      <c r="G1090" s="12">
        <v>20600</v>
      </c>
      <c r="H1090" s="11" t="str">
        <f t="shared" si="38"/>
        <v>平成4年12月5日</v>
      </c>
      <c r="I1090" s="22">
        <f t="shared" si="37"/>
        <v>33943</v>
      </c>
      <c r="J1090" s="1" t="str">
        <f>"00740887"</f>
        <v>00740887</v>
      </c>
      <c r="K1090" s="1" t="str">
        <f>"９６５　　　　　　　　　　　　　　　　　"</f>
        <v>９６５　　　　　　　　　　　　　　　　　</v>
      </c>
      <c r="L1090" s="1"/>
    </row>
    <row r="1091" spans="1:12" ht="18" customHeight="1" x14ac:dyDescent="0.15">
      <c r="A1091" s="11">
        <v>2248</v>
      </c>
      <c r="B1091" s="11" t="s">
        <v>53</v>
      </c>
      <c r="C1091" s="11" t="s">
        <v>156</v>
      </c>
      <c r="D1091" s="11">
        <v>1</v>
      </c>
      <c r="E1091" s="11" t="s">
        <v>4</v>
      </c>
      <c r="F1091" s="12">
        <v>20600</v>
      </c>
      <c r="G1091" s="12">
        <v>20600</v>
      </c>
      <c r="H1091" s="11" t="str">
        <f t="shared" si="38"/>
        <v>平成4年12月5日</v>
      </c>
      <c r="I1091" s="22">
        <f t="shared" si="37"/>
        <v>33943</v>
      </c>
      <c r="J1091" s="1" t="str">
        <f>"00740889"</f>
        <v>00740889</v>
      </c>
      <c r="K1091" s="1" t="str">
        <f>"９６６　　　　　　　　　　　　　　　　　"</f>
        <v>９６６　　　　　　　　　　　　　　　　　</v>
      </c>
      <c r="L1091" s="1"/>
    </row>
    <row r="1092" spans="1:12" ht="18" customHeight="1" x14ac:dyDescent="0.15">
      <c r="A1092" s="11">
        <v>2249</v>
      </c>
      <c r="B1092" s="11" t="s">
        <v>53</v>
      </c>
      <c r="C1092" s="11" t="s">
        <v>156</v>
      </c>
      <c r="D1092" s="11">
        <v>1</v>
      </c>
      <c r="E1092" s="11" t="s">
        <v>4</v>
      </c>
      <c r="F1092" s="12">
        <v>20600</v>
      </c>
      <c r="G1092" s="12">
        <v>20600</v>
      </c>
      <c r="H1092" s="11" t="str">
        <f t="shared" si="38"/>
        <v>平成4年12月5日</v>
      </c>
      <c r="I1092" s="22">
        <f t="shared" si="37"/>
        <v>33943</v>
      </c>
      <c r="J1092" s="1" t="str">
        <f>"00740891"</f>
        <v>00740891</v>
      </c>
      <c r="K1092" s="1" t="str">
        <f>"９６７　　　　　　　　　　　　　　　　　"</f>
        <v>９６７　　　　　　　　　　　　　　　　　</v>
      </c>
      <c r="L1092" s="1"/>
    </row>
    <row r="1093" spans="1:12" ht="18" customHeight="1" x14ac:dyDescent="0.15">
      <c r="A1093" s="11">
        <v>2250</v>
      </c>
      <c r="B1093" s="11" t="s">
        <v>53</v>
      </c>
      <c r="C1093" s="11" t="s">
        <v>156</v>
      </c>
      <c r="D1093" s="11">
        <v>1</v>
      </c>
      <c r="E1093" s="11" t="s">
        <v>4</v>
      </c>
      <c r="F1093" s="12">
        <v>20600</v>
      </c>
      <c r="G1093" s="12">
        <v>20600</v>
      </c>
      <c r="H1093" s="11" t="str">
        <f t="shared" si="38"/>
        <v>平成4年12月5日</v>
      </c>
      <c r="I1093" s="22">
        <f t="shared" si="37"/>
        <v>33943</v>
      </c>
      <c r="J1093" s="1" t="str">
        <f>"00740893"</f>
        <v>00740893</v>
      </c>
      <c r="K1093" s="1" t="str">
        <f>"９６８　　　　　　　　　　　　　　　　　"</f>
        <v>９６８　　　　　　　　　　　　　　　　　</v>
      </c>
      <c r="L1093" s="1"/>
    </row>
    <row r="1094" spans="1:12" ht="18" customHeight="1" x14ac:dyDescent="0.15">
      <c r="A1094" s="11">
        <v>2251</v>
      </c>
      <c r="B1094" s="11" t="s">
        <v>53</v>
      </c>
      <c r="C1094" s="11" t="s">
        <v>156</v>
      </c>
      <c r="D1094" s="11">
        <v>1</v>
      </c>
      <c r="E1094" s="11" t="s">
        <v>4</v>
      </c>
      <c r="F1094" s="12">
        <v>20600</v>
      </c>
      <c r="G1094" s="12">
        <v>20600</v>
      </c>
      <c r="H1094" s="11" t="str">
        <f t="shared" si="38"/>
        <v>平成4年12月5日</v>
      </c>
      <c r="I1094" s="22">
        <f t="shared" si="37"/>
        <v>33943</v>
      </c>
      <c r="J1094" s="1" t="str">
        <f>"00740895"</f>
        <v>00740895</v>
      </c>
      <c r="K1094" s="1" t="str">
        <f>"９６９　　　　　　　　　　　　　　　　　"</f>
        <v>９６９　　　　　　　　　　　　　　　　　</v>
      </c>
      <c r="L1094" s="1"/>
    </row>
    <row r="1095" spans="1:12" ht="18" customHeight="1" x14ac:dyDescent="0.15">
      <c r="A1095" s="11">
        <v>2252</v>
      </c>
      <c r="B1095" s="11" t="s">
        <v>53</v>
      </c>
      <c r="C1095" s="11" t="s">
        <v>156</v>
      </c>
      <c r="D1095" s="11">
        <v>1</v>
      </c>
      <c r="E1095" s="11" t="s">
        <v>4</v>
      </c>
      <c r="F1095" s="12">
        <v>20600</v>
      </c>
      <c r="G1095" s="12">
        <v>20600</v>
      </c>
      <c r="H1095" s="11" t="str">
        <f t="shared" si="38"/>
        <v>平成4年12月5日</v>
      </c>
      <c r="I1095" s="22">
        <f t="shared" si="37"/>
        <v>33943</v>
      </c>
      <c r="J1095" s="1" t="str">
        <f>"00740897"</f>
        <v>00740897</v>
      </c>
      <c r="K1095" s="1" t="str">
        <f>"９７０　　　　　　　　　　　　　　　　　"</f>
        <v>９７０　　　　　　　　　　　　　　　　　</v>
      </c>
      <c r="L1095" s="1"/>
    </row>
    <row r="1096" spans="1:12" ht="18" customHeight="1" x14ac:dyDescent="0.15">
      <c r="A1096" s="11">
        <v>2253</v>
      </c>
      <c r="B1096" s="11" t="s">
        <v>53</v>
      </c>
      <c r="C1096" s="11" t="s">
        <v>156</v>
      </c>
      <c r="D1096" s="11">
        <v>1</v>
      </c>
      <c r="E1096" s="11" t="s">
        <v>4</v>
      </c>
      <c r="F1096" s="12">
        <v>20600</v>
      </c>
      <c r="G1096" s="12">
        <v>20600</v>
      </c>
      <c r="H1096" s="11" t="str">
        <f t="shared" si="38"/>
        <v>平成4年12月5日</v>
      </c>
      <c r="I1096" s="22">
        <f t="shared" si="37"/>
        <v>33943</v>
      </c>
      <c r="J1096" s="1" t="str">
        <f>"00740899"</f>
        <v>00740899</v>
      </c>
      <c r="K1096" s="1" t="str">
        <f>"９７１　　　　　　　　　　　　　　　　　"</f>
        <v>９７１　　　　　　　　　　　　　　　　　</v>
      </c>
      <c r="L1096" s="1"/>
    </row>
    <row r="1097" spans="1:12" ht="18" customHeight="1" x14ac:dyDescent="0.15">
      <c r="A1097" s="11">
        <v>2254</v>
      </c>
      <c r="B1097" s="11" t="s">
        <v>53</v>
      </c>
      <c r="C1097" s="11" t="s">
        <v>156</v>
      </c>
      <c r="D1097" s="11">
        <v>1</v>
      </c>
      <c r="E1097" s="11" t="s">
        <v>4</v>
      </c>
      <c r="F1097" s="12">
        <v>20600</v>
      </c>
      <c r="G1097" s="12">
        <v>20600</v>
      </c>
      <c r="H1097" s="11" t="str">
        <f t="shared" si="38"/>
        <v>平成4年12月5日</v>
      </c>
      <c r="I1097" s="22">
        <f t="shared" si="37"/>
        <v>33943</v>
      </c>
      <c r="J1097" s="1" t="str">
        <f>"00740901"</f>
        <v>00740901</v>
      </c>
      <c r="K1097" s="1" t="str">
        <f>"９７２　　　　　　　　　　　　　　　　　"</f>
        <v>９７２　　　　　　　　　　　　　　　　　</v>
      </c>
      <c r="L1097" s="1"/>
    </row>
    <row r="1098" spans="1:12" ht="18" customHeight="1" x14ac:dyDescent="0.15">
      <c r="A1098" s="11">
        <v>2255</v>
      </c>
      <c r="B1098" s="11" t="s">
        <v>53</v>
      </c>
      <c r="C1098" s="11" t="s">
        <v>156</v>
      </c>
      <c r="D1098" s="11">
        <v>1</v>
      </c>
      <c r="E1098" s="11" t="s">
        <v>4</v>
      </c>
      <c r="F1098" s="12">
        <v>20600</v>
      </c>
      <c r="G1098" s="12">
        <v>20600</v>
      </c>
      <c r="H1098" s="11" t="str">
        <f t="shared" si="38"/>
        <v>平成4年12月5日</v>
      </c>
      <c r="I1098" s="22">
        <f t="shared" si="37"/>
        <v>33943</v>
      </c>
      <c r="J1098" s="1" t="str">
        <f>"00740903"</f>
        <v>00740903</v>
      </c>
      <c r="K1098" s="1" t="str">
        <f>"９７３　　　　　　　　　　　　　　　　　"</f>
        <v>９７３　　　　　　　　　　　　　　　　　</v>
      </c>
      <c r="L1098" s="1"/>
    </row>
    <row r="1099" spans="1:12" ht="18" customHeight="1" x14ac:dyDescent="0.15">
      <c r="A1099" s="11">
        <v>2256</v>
      </c>
      <c r="B1099" s="11" t="s">
        <v>53</v>
      </c>
      <c r="C1099" s="11" t="s">
        <v>156</v>
      </c>
      <c r="D1099" s="11">
        <v>1</v>
      </c>
      <c r="E1099" s="11" t="s">
        <v>4</v>
      </c>
      <c r="F1099" s="12">
        <v>20600</v>
      </c>
      <c r="G1099" s="12">
        <v>20600</v>
      </c>
      <c r="H1099" s="11" t="str">
        <f t="shared" si="38"/>
        <v>平成4年12月5日</v>
      </c>
      <c r="I1099" s="22">
        <f t="shared" si="37"/>
        <v>33943</v>
      </c>
      <c r="J1099" s="1" t="str">
        <f>"00740905"</f>
        <v>00740905</v>
      </c>
      <c r="K1099" s="1" t="str">
        <f>"９７４　　　　　　　　　　　　　　　　　"</f>
        <v>９７４　　　　　　　　　　　　　　　　　</v>
      </c>
      <c r="L1099" s="1"/>
    </row>
    <row r="1100" spans="1:12" ht="18" customHeight="1" x14ac:dyDescent="0.15">
      <c r="A1100" s="11">
        <v>2257</v>
      </c>
      <c r="B1100" s="11" t="s">
        <v>53</v>
      </c>
      <c r="C1100" s="11" t="s">
        <v>156</v>
      </c>
      <c r="D1100" s="11">
        <v>1</v>
      </c>
      <c r="E1100" s="11" t="s">
        <v>4</v>
      </c>
      <c r="F1100" s="12">
        <v>20600</v>
      </c>
      <c r="G1100" s="12">
        <v>20600</v>
      </c>
      <c r="H1100" s="11" t="str">
        <f t="shared" si="38"/>
        <v>平成4年12月5日</v>
      </c>
      <c r="I1100" s="22">
        <f t="shared" si="37"/>
        <v>33943</v>
      </c>
      <c r="J1100" s="1" t="str">
        <f>"00740907"</f>
        <v>00740907</v>
      </c>
      <c r="K1100" s="1" t="str">
        <f>"９７５　　　　　　　　　　　　　　　　　"</f>
        <v>９７５　　　　　　　　　　　　　　　　　</v>
      </c>
      <c r="L1100" s="1"/>
    </row>
    <row r="1101" spans="1:12" ht="18" customHeight="1" x14ac:dyDescent="0.15">
      <c r="A1101" s="11">
        <v>2258</v>
      </c>
      <c r="B1101" s="11" t="s">
        <v>53</v>
      </c>
      <c r="C1101" s="11" t="s">
        <v>156</v>
      </c>
      <c r="D1101" s="11">
        <v>1</v>
      </c>
      <c r="E1101" s="11" t="s">
        <v>4</v>
      </c>
      <c r="F1101" s="12">
        <v>20600</v>
      </c>
      <c r="G1101" s="12">
        <v>20600</v>
      </c>
      <c r="H1101" s="11" t="str">
        <f t="shared" si="38"/>
        <v>平成4年12月5日</v>
      </c>
      <c r="I1101" s="22">
        <f t="shared" si="37"/>
        <v>33943</v>
      </c>
      <c r="J1101" s="1" t="str">
        <f>"00740909"</f>
        <v>00740909</v>
      </c>
      <c r="K1101" s="1" t="str">
        <f>"９７６　　　　　　　　　　　　　　　　　"</f>
        <v>９７６　　　　　　　　　　　　　　　　　</v>
      </c>
      <c r="L1101" s="1"/>
    </row>
    <row r="1102" spans="1:12" ht="18" customHeight="1" x14ac:dyDescent="0.15">
      <c r="A1102" s="11">
        <v>2259</v>
      </c>
      <c r="B1102" s="11" t="s">
        <v>53</v>
      </c>
      <c r="C1102" s="11" t="s">
        <v>156</v>
      </c>
      <c r="D1102" s="11">
        <v>1</v>
      </c>
      <c r="E1102" s="11" t="s">
        <v>4</v>
      </c>
      <c r="F1102" s="12">
        <v>20600</v>
      </c>
      <c r="G1102" s="12">
        <v>20600</v>
      </c>
      <c r="H1102" s="11" t="str">
        <f t="shared" si="38"/>
        <v>平成4年12月5日</v>
      </c>
      <c r="I1102" s="22">
        <f t="shared" si="37"/>
        <v>33943</v>
      </c>
      <c r="J1102" s="1" t="str">
        <f>"00740911"</f>
        <v>00740911</v>
      </c>
      <c r="K1102" s="1" t="str">
        <f>"９７７　　　　　　　　　　　　　　　　　"</f>
        <v>９７７　　　　　　　　　　　　　　　　　</v>
      </c>
      <c r="L1102" s="1"/>
    </row>
    <row r="1103" spans="1:12" ht="18" customHeight="1" x14ac:dyDescent="0.15">
      <c r="A1103" s="11">
        <v>2260</v>
      </c>
      <c r="B1103" s="11" t="s">
        <v>53</v>
      </c>
      <c r="C1103" s="11" t="s">
        <v>156</v>
      </c>
      <c r="D1103" s="11">
        <v>1</v>
      </c>
      <c r="E1103" s="11" t="s">
        <v>4</v>
      </c>
      <c r="F1103" s="12">
        <v>20600</v>
      </c>
      <c r="G1103" s="12">
        <v>20600</v>
      </c>
      <c r="H1103" s="11" t="str">
        <f t="shared" si="38"/>
        <v>平成4年12月5日</v>
      </c>
      <c r="I1103" s="22">
        <f t="shared" si="37"/>
        <v>33943</v>
      </c>
      <c r="J1103" s="1" t="str">
        <f>"00740913"</f>
        <v>00740913</v>
      </c>
      <c r="K1103" s="1" t="str">
        <f>"９７８　　　　　　　　　　　　　　　　　"</f>
        <v>９７８　　　　　　　　　　　　　　　　　</v>
      </c>
      <c r="L1103" s="1"/>
    </row>
    <row r="1104" spans="1:12" ht="18" customHeight="1" x14ac:dyDescent="0.15">
      <c r="A1104" s="11">
        <v>2261</v>
      </c>
      <c r="B1104" s="11" t="s">
        <v>53</v>
      </c>
      <c r="C1104" s="11" t="s">
        <v>156</v>
      </c>
      <c r="D1104" s="11">
        <v>1</v>
      </c>
      <c r="E1104" s="11" t="s">
        <v>4</v>
      </c>
      <c r="F1104" s="12">
        <v>20600</v>
      </c>
      <c r="G1104" s="12">
        <v>20600</v>
      </c>
      <c r="H1104" s="11" t="str">
        <f t="shared" si="38"/>
        <v>平成4年12月5日</v>
      </c>
      <c r="I1104" s="22">
        <f t="shared" si="37"/>
        <v>33943</v>
      </c>
      <c r="J1104" s="1" t="str">
        <f>"00740915"</f>
        <v>00740915</v>
      </c>
      <c r="K1104" s="1" t="str">
        <f>"９７９　　　　　　　　　　　　　　　　　"</f>
        <v>９７９　　　　　　　　　　　　　　　　　</v>
      </c>
      <c r="L1104" s="1"/>
    </row>
    <row r="1105" spans="1:12" ht="18" customHeight="1" x14ac:dyDescent="0.15">
      <c r="A1105" s="11">
        <v>2262</v>
      </c>
      <c r="B1105" s="11" t="s">
        <v>53</v>
      </c>
      <c r="C1105" s="11" t="s">
        <v>156</v>
      </c>
      <c r="D1105" s="11">
        <v>1</v>
      </c>
      <c r="E1105" s="11" t="s">
        <v>4</v>
      </c>
      <c r="F1105" s="12">
        <v>20600</v>
      </c>
      <c r="G1105" s="12">
        <v>20600</v>
      </c>
      <c r="H1105" s="11" t="str">
        <f t="shared" si="38"/>
        <v>平成4年12月5日</v>
      </c>
      <c r="I1105" s="22">
        <f t="shared" si="37"/>
        <v>33943</v>
      </c>
      <c r="J1105" s="1" t="str">
        <f>"00740917"</f>
        <v>00740917</v>
      </c>
      <c r="K1105" s="1" t="str">
        <f>"９８０　　　　　　　　　　　　　　　　　"</f>
        <v>９８０　　　　　　　　　　　　　　　　　</v>
      </c>
      <c r="L1105" s="1"/>
    </row>
    <row r="1106" spans="1:12" ht="18" customHeight="1" x14ac:dyDescent="0.15">
      <c r="A1106" s="11">
        <v>2263</v>
      </c>
      <c r="B1106" s="11" t="s">
        <v>53</v>
      </c>
      <c r="C1106" s="11" t="s">
        <v>156</v>
      </c>
      <c r="D1106" s="11">
        <v>1</v>
      </c>
      <c r="E1106" s="11" t="s">
        <v>4</v>
      </c>
      <c r="F1106" s="12">
        <v>20600</v>
      </c>
      <c r="G1106" s="12">
        <v>20600</v>
      </c>
      <c r="H1106" s="11" t="str">
        <f t="shared" si="38"/>
        <v>平成4年12月5日</v>
      </c>
      <c r="I1106" s="22">
        <f t="shared" ref="I1106:I1169" si="39">DATEVALUE(H1106)</f>
        <v>33943</v>
      </c>
      <c r="J1106" s="1" t="str">
        <f>"00740919"</f>
        <v>00740919</v>
      </c>
      <c r="K1106" s="1" t="str">
        <f>"９８１　　　　　　　　　　　　　　　　　"</f>
        <v>９８１　　　　　　　　　　　　　　　　　</v>
      </c>
      <c r="L1106" s="1"/>
    </row>
    <row r="1107" spans="1:12" ht="18" customHeight="1" x14ac:dyDescent="0.15">
      <c r="A1107" s="11">
        <v>2264</v>
      </c>
      <c r="B1107" s="11" t="s">
        <v>53</v>
      </c>
      <c r="C1107" s="11" t="s">
        <v>156</v>
      </c>
      <c r="D1107" s="11">
        <v>1</v>
      </c>
      <c r="E1107" s="11" t="s">
        <v>4</v>
      </c>
      <c r="F1107" s="12">
        <v>20600</v>
      </c>
      <c r="G1107" s="12">
        <v>20600</v>
      </c>
      <c r="H1107" s="11" t="str">
        <f t="shared" si="38"/>
        <v>平成4年12月5日</v>
      </c>
      <c r="I1107" s="22">
        <f t="shared" si="39"/>
        <v>33943</v>
      </c>
      <c r="J1107" s="1" t="str">
        <f>"00740921"</f>
        <v>00740921</v>
      </c>
      <c r="K1107" s="1" t="str">
        <f>"９８２　　　　　　　　　　　　　　　　　"</f>
        <v>９８２　　　　　　　　　　　　　　　　　</v>
      </c>
      <c r="L1107" s="1"/>
    </row>
    <row r="1108" spans="1:12" ht="18" customHeight="1" x14ac:dyDescent="0.15">
      <c r="A1108" s="11">
        <v>2265</v>
      </c>
      <c r="B1108" s="11" t="s">
        <v>53</v>
      </c>
      <c r="C1108" s="11" t="s">
        <v>156</v>
      </c>
      <c r="D1108" s="11">
        <v>1</v>
      </c>
      <c r="E1108" s="11" t="s">
        <v>4</v>
      </c>
      <c r="F1108" s="12">
        <v>20600</v>
      </c>
      <c r="G1108" s="12">
        <v>20600</v>
      </c>
      <c r="H1108" s="11" t="str">
        <f t="shared" si="38"/>
        <v>平成4年12月5日</v>
      </c>
      <c r="I1108" s="22">
        <f t="shared" si="39"/>
        <v>33943</v>
      </c>
      <c r="J1108" s="1" t="str">
        <f>"00740923"</f>
        <v>00740923</v>
      </c>
      <c r="K1108" s="1" t="str">
        <f>"９８３　　　　　　　　　　　　　　　　　"</f>
        <v>９８３　　　　　　　　　　　　　　　　　</v>
      </c>
      <c r="L1108" s="1"/>
    </row>
    <row r="1109" spans="1:12" ht="18" customHeight="1" x14ac:dyDescent="0.15">
      <c r="A1109" s="11">
        <v>2266</v>
      </c>
      <c r="B1109" s="11" t="s">
        <v>53</v>
      </c>
      <c r="C1109" s="11" t="s">
        <v>156</v>
      </c>
      <c r="D1109" s="11">
        <v>1</v>
      </c>
      <c r="E1109" s="11" t="s">
        <v>4</v>
      </c>
      <c r="F1109" s="12">
        <v>20600</v>
      </c>
      <c r="G1109" s="12">
        <v>20600</v>
      </c>
      <c r="H1109" s="11" t="str">
        <f t="shared" si="38"/>
        <v>平成4年12月5日</v>
      </c>
      <c r="I1109" s="22">
        <f t="shared" si="39"/>
        <v>33943</v>
      </c>
      <c r="J1109" s="1" t="str">
        <f>"00740925"</f>
        <v>00740925</v>
      </c>
      <c r="K1109" s="1" t="str">
        <f>"９８４　　　　　　　　　　　　　　　　　"</f>
        <v>９８４　　　　　　　　　　　　　　　　　</v>
      </c>
      <c r="L1109" s="1"/>
    </row>
    <row r="1110" spans="1:12" ht="18" customHeight="1" x14ac:dyDescent="0.15">
      <c r="A1110" s="11">
        <v>2267</v>
      </c>
      <c r="B1110" s="11" t="s">
        <v>53</v>
      </c>
      <c r="C1110" s="11" t="s">
        <v>156</v>
      </c>
      <c r="D1110" s="11">
        <v>1</v>
      </c>
      <c r="E1110" s="11" t="s">
        <v>4</v>
      </c>
      <c r="F1110" s="12">
        <v>20600</v>
      </c>
      <c r="G1110" s="12">
        <v>20600</v>
      </c>
      <c r="H1110" s="11" t="str">
        <f t="shared" si="38"/>
        <v>平成4年12月5日</v>
      </c>
      <c r="I1110" s="22">
        <f t="shared" si="39"/>
        <v>33943</v>
      </c>
      <c r="J1110" s="1" t="str">
        <f>"00740927"</f>
        <v>00740927</v>
      </c>
      <c r="K1110" s="1" t="str">
        <f>"９８５　　　　　　　　　　　　　　　　　"</f>
        <v>９８５　　　　　　　　　　　　　　　　　</v>
      </c>
      <c r="L1110" s="1"/>
    </row>
    <row r="1111" spans="1:12" ht="18" customHeight="1" x14ac:dyDescent="0.15">
      <c r="A1111" s="11">
        <v>2268</v>
      </c>
      <c r="B1111" s="11" t="s">
        <v>53</v>
      </c>
      <c r="C1111" s="11" t="s">
        <v>156</v>
      </c>
      <c r="D1111" s="11">
        <v>1</v>
      </c>
      <c r="E1111" s="11" t="s">
        <v>4</v>
      </c>
      <c r="F1111" s="12">
        <v>20600</v>
      </c>
      <c r="G1111" s="12">
        <v>20600</v>
      </c>
      <c r="H1111" s="11" t="str">
        <f t="shared" si="38"/>
        <v>平成4年12月5日</v>
      </c>
      <c r="I1111" s="22">
        <f t="shared" si="39"/>
        <v>33943</v>
      </c>
      <c r="J1111" s="1" t="str">
        <f>"00740929"</f>
        <v>00740929</v>
      </c>
      <c r="K1111" s="1" t="str">
        <f>"９８６　　　　　　　　　　　　　　　　　"</f>
        <v>９８６　　　　　　　　　　　　　　　　　</v>
      </c>
      <c r="L1111" s="1"/>
    </row>
    <row r="1112" spans="1:12" ht="18" customHeight="1" x14ac:dyDescent="0.15">
      <c r="A1112" s="11">
        <v>2269</v>
      </c>
      <c r="B1112" s="11" t="s">
        <v>53</v>
      </c>
      <c r="C1112" s="11" t="s">
        <v>156</v>
      </c>
      <c r="D1112" s="11">
        <v>1</v>
      </c>
      <c r="E1112" s="11" t="s">
        <v>4</v>
      </c>
      <c r="F1112" s="12">
        <v>20600</v>
      </c>
      <c r="G1112" s="12">
        <v>20600</v>
      </c>
      <c r="H1112" s="11" t="str">
        <f t="shared" si="38"/>
        <v>平成4年12月5日</v>
      </c>
      <c r="I1112" s="22">
        <f t="shared" si="39"/>
        <v>33943</v>
      </c>
      <c r="J1112" s="1" t="str">
        <f>"00740931"</f>
        <v>00740931</v>
      </c>
      <c r="K1112" s="1" t="str">
        <f>"９８７　　　　　　　　　　　　　　　　　"</f>
        <v>９８７　　　　　　　　　　　　　　　　　</v>
      </c>
      <c r="L1112" s="1"/>
    </row>
    <row r="1113" spans="1:12" ht="18" customHeight="1" x14ac:dyDescent="0.15">
      <c r="A1113" s="11">
        <v>2270</v>
      </c>
      <c r="B1113" s="11" t="s">
        <v>53</v>
      </c>
      <c r="C1113" s="11" t="s">
        <v>156</v>
      </c>
      <c r="D1113" s="11">
        <v>1</v>
      </c>
      <c r="E1113" s="11" t="s">
        <v>4</v>
      </c>
      <c r="F1113" s="12">
        <v>20600</v>
      </c>
      <c r="G1113" s="12">
        <v>20600</v>
      </c>
      <c r="H1113" s="11" t="str">
        <f t="shared" si="38"/>
        <v>平成4年12月5日</v>
      </c>
      <c r="I1113" s="22">
        <f t="shared" si="39"/>
        <v>33943</v>
      </c>
      <c r="J1113" s="1" t="str">
        <f>"00740933"</f>
        <v>00740933</v>
      </c>
      <c r="K1113" s="1" t="str">
        <f>"９８８　　　　　　　　　　　　　　　　　"</f>
        <v>９８８　　　　　　　　　　　　　　　　　</v>
      </c>
      <c r="L1113" s="1"/>
    </row>
    <row r="1114" spans="1:12" ht="18" customHeight="1" x14ac:dyDescent="0.15">
      <c r="A1114" s="11">
        <v>2271</v>
      </c>
      <c r="B1114" s="11" t="s">
        <v>53</v>
      </c>
      <c r="C1114" s="11" t="s">
        <v>156</v>
      </c>
      <c r="D1114" s="11">
        <v>1</v>
      </c>
      <c r="E1114" s="11" t="s">
        <v>4</v>
      </c>
      <c r="F1114" s="12">
        <v>20600</v>
      </c>
      <c r="G1114" s="12">
        <v>20600</v>
      </c>
      <c r="H1114" s="11" t="str">
        <f t="shared" si="38"/>
        <v>平成4年12月5日</v>
      </c>
      <c r="I1114" s="22">
        <f t="shared" si="39"/>
        <v>33943</v>
      </c>
      <c r="J1114" s="1" t="str">
        <f>"00740935"</f>
        <v>00740935</v>
      </c>
      <c r="K1114" s="1" t="str">
        <f>"９８９　　　　　　　　　　　　　　　　　"</f>
        <v>９８９　　　　　　　　　　　　　　　　　</v>
      </c>
      <c r="L1114" s="1"/>
    </row>
    <row r="1115" spans="1:12" ht="18" customHeight="1" x14ac:dyDescent="0.15">
      <c r="A1115" s="11">
        <v>2272</v>
      </c>
      <c r="B1115" s="11" t="s">
        <v>53</v>
      </c>
      <c r="C1115" s="11" t="s">
        <v>156</v>
      </c>
      <c r="D1115" s="11">
        <v>1</v>
      </c>
      <c r="E1115" s="11" t="s">
        <v>4</v>
      </c>
      <c r="F1115" s="12">
        <v>20600</v>
      </c>
      <c r="G1115" s="12">
        <v>20600</v>
      </c>
      <c r="H1115" s="11" t="str">
        <f t="shared" si="38"/>
        <v>平成4年12月5日</v>
      </c>
      <c r="I1115" s="22">
        <f t="shared" si="39"/>
        <v>33943</v>
      </c>
      <c r="J1115" s="1" t="str">
        <f>"00740937"</f>
        <v>00740937</v>
      </c>
      <c r="K1115" s="1" t="str">
        <f>"９９０　　　　　　　　　　　　　　　　　"</f>
        <v>９９０　　　　　　　　　　　　　　　　　</v>
      </c>
      <c r="L1115" s="1"/>
    </row>
    <row r="1116" spans="1:12" ht="18" customHeight="1" x14ac:dyDescent="0.15">
      <c r="A1116" s="11">
        <v>2273</v>
      </c>
      <c r="B1116" s="11" t="s">
        <v>53</v>
      </c>
      <c r="C1116" s="11" t="s">
        <v>156</v>
      </c>
      <c r="D1116" s="11">
        <v>1</v>
      </c>
      <c r="E1116" s="11" t="s">
        <v>4</v>
      </c>
      <c r="F1116" s="12">
        <v>20600</v>
      </c>
      <c r="G1116" s="12">
        <v>20600</v>
      </c>
      <c r="H1116" s="11" t="str">
        <f t="shared" si="38"/>
        <v>平成4年12月5日</v>
      </c>
      <c r="I1116" s="22">
        <f t="shared" si="39"/>
        <v>33943</v>
      </c>
      <c r="J1116" s="1" t="str">
        <f>"00740939"</f>
        <v>00740939</v>
      </c>
      <c r="K1116" s="1" t="str">
        <f>"９９１　　　　　　　　　　　　　　　　　"</f>
        <v>９９１　　　　　　　　　　　　　　　　　</v>
      </c>
      <c r="L1116" s="1"/>
    </row>
    <row r="1117" spans="1:12" ht="18" customHeight="1" x14ac:dyDescent="0.15">
      <c r="A1117" s="11">
        <v>2274</v>
      </c>
      <c r="B1117" s="11" t="s">
        <v>53</v>
      </c>
      <c r="C1117" s="11" t="s">
        <v>156</v>
      </c>
      <c r="D1117" s="11">
        <v>1</v>
      </c>
      <c r="E1117" s="11" t="s">
        <v>4</v>
      </c>
      <c r="F1117" s="12">
        <v>20600</v>
      </c>
      <c r="G1117" s="12">
        <v>20600</v>
      </c>
      <c r="H1117" s="11" t="str">
        <f t="shared" si="38"/>
        <v>平成4年12月5日</v>
      </c>
      <c r="I1117" s="22">
        <f t="shared" si="39"/>
        <v>33943</v>
      </c>
      <c r="J1117" s="1" t="str">
        <f>"00740941"</f>
        <v>00740941</v>
      </c>
      <c r="K1117" s="1" t="str">
        <f>"９９２　　　　　　　　　　　　　　　　　"</f>
        <v>９９２　　　　　　　　　　　　　　　　　</v>
      </c>
      <c r="L1117" s="1"/>
    </row>
    <row r="1118" spans="1:12" ht="18" customHeight="1" x14ac:dyDescent="0.15">
      <c r="A1118" s="11">
        <v>2275</v>
      </c>
      <c r="B1118" s="11" t="s">
        <v>53</v>
      </c>
      <c r="C1118" s="11" t="s">
        <v>156</v>
      </c>
      <c r="D1118" s="11">
        <v>1</v>
      </c>
      <c r="E1118" s="11" t="s">
        <v>4</v>
      </c>
      <c r="F1118" s="12">
        <v>20600</v>
      </c>
      <c r="G1118" s="12">
        <v>20600</v>
      </c>
      <c r="H1118" s="11" t="str">
        <f t="shared" si="38"/>
        <v>平成4年12月5日</v>
      </c>
      <c r="I1118" s="22">
        <f t="shared" si="39"/>
        <v>33943</v>
      </c>
      <c r="J1118" s="1" t="str">
        <f>"00740943"</f>
        <v>00740943</v>
      </c>
      <c r="K1118" s="1" t="str">
        <f>"９９３　　　　　　　　　　　　　　　　　"</f>
        <v>９９３　　　　　　　　　　　　　　　　　</v>
      </c>
      <c r="L1118" s="1"/>
    </row>
    <row r="1119" spans="1:12" ht="18" customHeight="1" x14ac:dyDescent="0.15">
      <c r="A1119" s="11">
        <v>2276</v>
      </c>
      <c r="B1119" s="11" t="s">
        <v>53</v>
      </c>
      <c r="C1119" s="11" t="s">
        <v>156</v>
      </c>
      <c r="D1119" s="11">
        <v>1</v>
      </c>
      <c r="E1119" s="11" t="s">
        <v>4</v>
      </c>
      <c r="F1119" s="12">
        <v>20600</v>
      </c>
      <c r="G1119" s="12">
        <v>20600</v>
      </c>
      <c r="H1119" s="11" t="str">
        <f t="shared" si="38"/>
        <v>平成4年12月5日</v>
      </c>
      <c r="I1119" s="22">
        <f t="shared" si="39"/>
        <v>33943</v>
      </c>
      <c r="J1119" s="1" t="str">
        <f>"00740945"</f>
        <v>00740945</v>
      </c>
      <c r="K1119" s="1" t="str">
        <f>"９９４　　　　　　　　　　　　　　　　　"</f>
        <v>９９４　　　　　　　　　　　　　　　　　</v>
      </c>
      <c r="L1119" s="1"/>
    </row>
    <row r="1120" spans="1:12" ht="18" customHeight="1" x14ac:dyDescent="0.15">
      <c r="A1120" s="11">
        <v>2277</v>
      </c>
      <c r="B1120" s="11" t="s">
        <v>53</v>
      </c>
      <c r="C1120" s="11" t="s">
        <v>156</v>
      </c>
      <c r="D1120" s="11">
        <v>1</v>
      </c>
      <c r="E1120" s="11" t="s">
        <v>4</v>
      </c>
      <c r="F1120" s="12">
        <v>20600</v>
      </c>
      <c r="G1120" s="12">
        <v>20600</v>
      </c>
      <c r="H1120" s="11" t="str">
        <f t="shared" si="38"/>
        <v>平成4年12月5日</v>
      </c>
      <c r="I1120" s="22">
        <f t="shared" si="39"/>
        <v>33943</v>
      </c>
      <c r="J1120" s="1" t="str">
        <f>"00740947"</f>
        <v>00740947</v>
      </c>
      <c r="K1120" s="1" t="str">
        <f>"９９５　　　　　　　　　　　　　　　　　"</f>
        <v>９９５　　　　　　　　　　　　　　　　　</v>
      </c>
      <c r="L1120" s="1"/>
    </row>
    <row r="1121" spans="1:12" ht="18" customHeight="1" x14ac:dyDescent="0.15">
      <c r="A1121" s="11">
        <v>2278</v>
      </c>
      <c r="B1121" s="11" t="s">
        <v>53</v>
      </c>
      <c r="C1121" s="11" t="s">
        <v>156</v>
      </c>
      <c r="D1121" s="11">
        <v>1</v>
      </c>
      <c r="E1121" s="11" t="s">
        <v>4</v>
      </c>
      <c r="F1121" s="12">
        <v>20600</v>
      </c>
      <c r="G1121" s="12">
        <v>20600</v>
      </c>
      <c r="H1121" s="11" t="str">
        <f t="shared" si="38"/>
        <v>平成4年12月5日</v>
      </c>
      <c r="I1121" s="22">
        <f t="shared" si="39"/>
        <v>33943</v>
      </c>
      <c r="J1121" s="1" t="str">
        <f>"00740949"</f>
        <v>00740949</v>
      </c>
      <c r="K1121" s="1" t="str">
        <f>"９９６　　　　　　　　　　　　　　　　　"</f>
        <v>９９６　　　　　　　　　　　　　　　　　</v>
      </c>
      <c r="L1121" s="1"/>
    </row>
    <row r="1122" spans="1:12" ht="18" customHeight="1" x14ac:dyDescent="0.15">
      <c r="A1122" s="11">
        <v>2279</v>
      </c>
      <c r="B1122" s="11" t="s">
        <v>53</v>
      </c>
      <c r="C1122" s="11" t="s">
        <v>156</v>
      </c>
      <c r="D1122" s="11">
        <v>1</v>
      </c>
      <c r="E1122" s="11" t="s">
        <v>4</v>
      </c>
      <c r="F1122" s="12">
        <v>20600</v>
      </c>
      <c r="G1122" s="12">
        <v>20600</v>
      </c>
      <c r="H1122" s="11" t="str">
        <f t="shared" si="38"/>
        <v>平成4年12月5日</v>
      </c>
      <c r="I1122" s="22">
        <f t="shared" si="39"/>
        <v>33943</v>
      </c>
      <c r="J1122" s="1" t="str">
        <f>"00740951"</f>
        <v>00740951</v>
      </c>
      <c r="K1122" s="1" t="str">
        <f>"９９７　　　　　　　　　　　　　　　　　"</f>
        <v>９９７　　　　　　　　　　　　　　　　　</v>
      </c>
      <c r="L1122" s="1"/>
    </row>
    <row r="1123" spans="1:12" ht="18" customHeight="1" x14ac:dyDescent="0.15">
      <c r="A1123" s="11">
        <v>2280</v>
      </c>
      <c r="B1123" s="11" t="s">
        <v>53</v>
      </c>
      <c r="C1123" s="11" t="s">
        <v>156</v>
      </c>
      <c r="D1123" s="11">
        <v>1</v>
      </c>
      <c r="E1123" s="11" t="s">
        <v>4</v>
      </c>
      <c r="F1123" s="12">
        <v>20600</v>
      </c>
      <c r="G1123" s="12">
        <v>20600</v>
      </c>
      <c r="H1123" s="11" t="str">
        <f t="shared" si="38"/>
        <v>平成4年12月5日</v>
      </c>
      <c r="I1123" s="22">
        <f t="shared" si="39"/>
        <v>33943</v>
      </c>
      <c r="J1123" s="1" t="str">
        <f>"00740953"</f>
        <v>00740953</v>
      </c>
      <c r="K1123" s="1" t="str">
        <f>"９９８　　　　　　　　　　　　　　　　　"</f>
        <v>９９８　　　　　　　　　　　　　　　　　</v>
      </c>
      <c r="L1123" s="1"/>
    </row>
    <row r="1124" spans="1:12" ht="18" customHeight="1" x14ac:dyDescent="0.15">
      <c r="A1124" s="11">
        <v>2281</v>
      </c>
      <c r="B1124" s="11" t="s">
        <v>53</v>
      </c>
      <c r="C1124" s="11" t="s">
        <v>156</v>
      </c>
      <c r="D1124" s="11">
        <v>1</v>
      </c>
      <c r="E1124" s="11" t="s">
        <v>4</v>
      </c>
      <c r="F1124" s="12">
        <v>20600</v>
      </c>
      <c r="G1124" s="12">
        <v>20600</v>
      </c>
      <c r="H1124" s="11" t="str">
        <f t="shared" si="38"/>
        <v>平成4年12月5日</v>
      </c>
      <c r="I1124" s="22">
        <f t="shared" si="39"/>
        <v>33943</v>
      </c>
      <c r="J1124" s="1" t="str">
        <f>"00740955"</f>
        <v>00740955</v>
      </c>
      <c r="K1124" s="1" t="str">
        <f>"９９９　　　　　　　　　　　　　　　　　"</f>
        <v>９９９　　　　　　　　　　　　　　　　　</v>
      </c>
      <c r="L1124" s="1"/>
    </row>
    <row r="1125" spans="1:12" ht="18" customHeight="1" x14ac:dyDescent="0.15">
      <c r="A1125" s="11">
        <v>2282</v>
      </c>
      <c r="B1125" s="11" t="s">
        <v>53</v>
      </c>
      <c r="C1125" s="11" t="s">
        <v>156</v>
      </c>
      <c r="D1125" s="11">
        <v>1</v>
      </c>
      <c r="E1125" s="11" t="s">
        <v>4</v>
      </c>
      <c r="F1125" s="12">
        <v>20600</v>
      </c>
      <c r="G1125" s="12">
        <v>20600</v>
      </c>
      <c r="H1125" s="11" t="str">
        <f t="shared" si="38"/>
        <v>平成4年12月5日</v>
      </c>
      <c r="I1125" s="22">
        <f t="shared" si="39"/>
        <v>33943</v>
      </c>
      <c r="J1125" s="1" t="str">
        <f>"00740957"</f>
        <v>00740957</v>
      </c>
      <c r="K1125" s="1" t="str">
        <f>"１０００　　　　　　　　　　　　　　　　"</f>
        <v>１０００　　　　　　　　　　　　　　　　</v>
      </c>
      <c r="L1125" s="1"/>
    </row>
    <row r="1126" spans="1:12" ht="18" customHeight="1" x14ac:dyDescent="0.15">
      <c r="A1126" s="11">
        <v>2283</v>
      </c>
      <c r="B1126" s="11" t="s">
        <v>53</v>
      </c>
      <c r="C1126" s="11" t="s">
        <v>156</v>
      </c>
      <c r="D1126" s="11">
        <v>1</v>
      </c>
      <c r="E1126" s="11" t="s">
        <v>4</v>
      </c>
      <c r="F1126" s="12">
        <v>20600</v>
      </c>
      <c r="G1126" s="12">
        <v>20600</v>
      </c>
      <c r="H1126" s="11" t="str">
        <f t="shared" si="38"/>
        <v>平成4年12月5日</v>
      </c>
      <c r="I1126" s="22">
        <f t="shared" si="39"/>
        <v>33943</v>
      </c>
      <c r="J1126" s="1" t="str">
        <f>"00740959"</f>
        <v>00740959</v>
      </c>
      <c r="K1126" s="1" t="str">
        <f>"１００１　　　　　　　　　　　　　　　　"</f>
        <v>１００１　　　　　　　　　　　　　　　　</v>
      </c>
      <c r="L1126" s="1"/>
    </row>
    <row r="1127" spans="1:12" ht="18" customHeight="1" x14ac:dyDescent="0.15">
      <c r="A1127" s="11">
        <v>2284</v>
      </c>
      <c r="B1127" s="11" t="s">
        <v>53</v>
      </c>
      <c r="C1127" s="11" t="s">
        <v>156</v>
      </c>
      <c r="D1127" s="11">
        <v>1</v>
      </c>
      <c r="E1127" s="11" t="s">
        <v>4</v>
      </c>
      <c r="F1127" s="12">
        <v>20600</v>
      </c>
      <c r="G1127" s="12">
        <v>20600</v>
      </c>
      <c r="H1127" s="11" t="str">
        <f t="shared" si="38"/>
        <v>平成4年12月5日</v>
      </c>
      <c r="I1127" s="22">
        <f t="shared" si="39"/>
        <v>33943</v>
      </c>
      <c r="J1127" s="1" t="str">
        <f>"00740961"</f>
        <v>00740961</v>
      </c>
      <c r="K1127" s="1" t="str">
        <f>"１００２　　　　　　　　　　　　　　　　"</f>
        <v>１００２　　　　　　　　　　　　　　　　</v>
      </c>
      <c r="L1127" s="1"/>
    </row>
    <row r="1128" spans="1:12" ht="18" customHeight="1" x14ac:dyDescent="0.15">
      <c r="A1128" s="11">
        <v>2285</v>
      </c>
      <c r="B1128" s="11" t="s">
        <v>53</v>
      </c>
      <c r="C1128" s="11" t="s">
        <v>156</v>
      </c>
      <c r="D1128" s="11">
        <v>1</v>
      </c>
      <c r="E1128" s="11" t="s">
        <v>4</v>
      </c>
      <c r="F1128" s="12">
        <v>20600</v>
      </c>
      <c r="G1128" s="12">
        <v>20600</v>
      </c>
      <c r="H1128" s="11" t="str">
        <f t="shared" si="38"/>
        <v>平成4年12月5日</v>
      </c>
      <c r="I1128" s="22">
        <f t="shared" si="39"/>
        <v>33943</v>
      </c>
      <c r="J1128" s="1" t="str">
        <f>"00740963"</f>
        <v>00740963</v>
      </c>
      <c r="K1128" s="1" t="str">
        <f>"１００３　　　　　　　　　　　　　　　　"</f>
        <v>１００３　　　　　　　　　　　　　　　　</v>
      </c>
      <c r="L1128" s="1"/>
    </row>
    <row r="1129" spans="1:12" ht="18" customHeight="1" x14ac:dyDescent="0.15">
      <c r="A1129" s="11">
        <v>2286</v>
      </c>
      <c r="B1129" s="11" t="s">
        <v>53</v>
      </c>
      <c r="C1129" s="11" t="s">
        <v>156</v>
      </c>
      <c r="D1129" s="11">
        <v>1</v>
      </c>
      <c r="E1129" s="11" t="s">
        <v>4</v>
      </c>
      <c r="F1129" s="12">
        <v>20600</v>
      </c>
      <c r="G1129" s="12">
        <v>20600</v>
      </c>
      <c r="H1129" s="11" t="str">
        <f t="shared" si="38"/>
        <v>平成4年12月5日</v>
      </c>
      <c r="I1129" s="22">
        <f t="shared" si="39"/>
        <v>33943</v>
      </c>
      <c r="J1129" s="1" t="str">
        <f>"00740965"</f>
        <v>00740965</v>
      </c>
      <c r="K1129" s="1" t="str">
        <f>"１００４　　　　　　　　　　　　　　　　"</f>
        <v>１００４　　　　　　　　　　　　　　　　</v>
      </c>
      <c r="L1129" s="1"/>
    </row>
    <row r="1130" spans="1:12" ht="18" customHeight="1" x14ac:dyDescent="0.15">
      <c r="A1130" s="11">
        <v>2287</v>
      </c>
      <c r="B1130" s="11" t="s">
        <v>53</v>
      </c>
      <c r="C1130" s="11" t="s">
        <v>156</v>
      </c>
      <c r="D1130" s="11">
        <v>1</v>
      </c>
      <c r="E1130" s="11" t="s">
        <v>4</v>
      </c>
      <c r="F1130" s="12">
        <v>20600</v>
      </c>
      <c r="G1130" s="12">
        <v>20600</v>
      </c>
      <c r="H1130" s="11" t="str">
        <f t="shared" si="38"/>
        <v>平成4年12月5日</v>
      </c>
      <c r="I1130" s="22">
        <f t="shared" si="39"/>
        <v>33943</v>
      </c>
      <c r="J1130" s="1" t="str">
        <f>"00740967"</f>
        <v>00740967</v>
      </c>
      <c r="K1130" s="1" t="str">
        <f>"１００５　　　　　　　　　　　　　　　　"</f>
        <v>１００５　　　　　　　　　　　　　　　　</v>
      </c>
      <c r="L1130" s="1"/>
    </row>
    <row r="1131" spans="1:12" ht="18" customHeight="1" x14ac:dyDescent="0.15">
      <c r="A1131" s="11">
        <v>2288</v>
      </c>
      <c r="B1131" s="11" t="s">
        <v>53</v>
      </c>
      <c r="C1131" s="11" t="s">
        <v>156</v>
      </c>
      <c r="D1131" s="11">
        <v>1</v>
      </c>
      <c r="E1131" s="11" t="s">
        <v>4</v>
      </c>
      <c r="F1131" s="12">
        <v>20600</v>
      </c>
      <c r="G1131" s="12">
        <v>20600</v>
      </c>
      <c r="H1131" s="11" t="str">
        <f t="shared" si="38"/>
        <v>平成4年12月5日</v>
      </c>
      <c r="I1131" s="22">
        <f t="shared" si="39"/>
        <v>33943</v>
      </c>
      <c r="J1131" s="1" t="str">
        <f>"00740969"</f>
        <v>00740969</v>
      </c>
      <c r="K1131" s="1" t="str">
        <f>"１００６　　　　　　　　　　　　　　　　"</f>
        <v>１００６　　　　　　　　　　　　　　　　</v>
      </c>
      <c r="L1131" s="1"/>
    </row>
    <row r="1132" spans="1:12" ht="18" customHeight="1" x14ac:dyDescent="0.15">
      <c r="A1132" s="11">
        <v>2289</v>
      </c>
      <c r="B1132" s="11" t="s">
        <v>53</v>
      </c>
      <c r="C1132" s="11" t="s">
        <v>156</v>
      </c>
      <c r="D1132" s="11">
        <v>1</v>
      </c>
      <c r="E1132" s="11" t="s">
        <v>4</v>
      </c>
      <c r="F1132" s="12">
        <v>20600</v>
      </c>
      <c r="G1132" s="12">
        <v>20600</v>
      </c>
      <c r="H1132" s="11" t="str">
        <f t="shared" si="38"/>
        <v>平成4年12月5日</v>
      </c>
      <c r="I1132" s="22">
        <f t="shared" si="39"/>
        <v>33943</v>
      </c>
      <c r="J1132" s="1" t="str">
        <f>"00740971"</f>
        <v>00740971</v>
      </c>
      <c r="K1132" s="1" t="str">
        <f>"１００７　　　　　　　　　　　　　　　　"</f>
        <v>１００７　　　　　　　　　　　　　　　　</v>
      </c>
      <c r="L1132" s="1"/>
    </row>
    <row r="1133" spans="1:12" ht="18" customHeight="1" x14ac:dyDescent="0.15">
      <c r="A1133" s="11">
        <v>2290</v>
      </c>
      <c r="B1133" s="11" t="s">
        <v>53</v>
      </c>
      <c r="C1133" s="11" t="s">
        <v>156</v>
      </c>
      <c r="D1133" s="11">
        <v>1</v>
      </c>
      <c r="E1133" s="11" t="s">
        <v>4</v>
      </c>
      <c r="F1133" s="12">
        <v>20600</v>
      </c>
      <c r="G1133" s="12">
        <v>20600</v>
      </c>
      <c r="H1133" s="11" t="str">
        <f t="shared" si="38"/>
        <v>平成4年12月5日</v>
      </c>
      <c r="I1133" s="22">
        <f t="shared" si="39"/>
        <v>33943</v>
      </c>
      <c r="J1133" s="1" t="str">
        <f>"00740973"</f>
        <v>00740973</v>
      </c>
      <c r="K1133" s="1" t="str">
        <f>"１００８　　　　　　　　　　　　　　　　"</f>
        <v>１００８　　　　　　　　　　　　　　　　</v>
      </c>
      <c r="L1133" s="1"/>
    </row>
    <row r="1134" spans="1:12" ht="18" customHeight="1" x14ac:dyDescent="0.15">
      <c r="A1134" s="11">
        <v>2291</v>
      </c>
      <c r="B1134" s="11" t="s">
        <v>53</v>
      </c>
      <c r="C1134" s="11" t="s">
        <v>156</v>
      </c>
      <c r="D1134" s="11">
        <v>1</v>
      </c>
      <c r="E1134" s="11" t="s">
        <v>4</v>
      </c>
      <c r="F1134" s="12">
        <v>20600</v>
      </c>
      <c r="G1134" s="12">
        <v>20600</v>
      </c>
      <c r="H1134" s="11" t="str">
        <f t="shared" ref="H1134:H1197" si="40">"平成4年12月5日"</f>
        <v>平成4年12月5日</v>
      </c>
      <c r="I1134" s="22">
        <f t="shared" si="39"/>
        <v>33943</v>
      </c>
      <c r="J1134" s="1" t="str">
        <f>"00740975"</f>
        <v>00740975</v>
      </c>
      <c r="K1134" s="1" t="str">
        <f>"１００９　　　　　　　　　　　　　　　　"</f>
        <v>１００９　　　　　　　　　　　　　　　　</v>
      </c>
      <c r="L1134" s="1"/>
    </row>
    <row r="1135" spans="1:12" ht="18" customHeight="1" x14ac:dyDescent="0.15">
      <c r="A1135" s="11">
        <v>2292</v>
      </c>
      <c r="B1135" s="11" t="s">
        <v>53</v>
      </c>
      <c r="C1135" s="11" t="s">
        <v>156</v>
      </c>
      <c r="D1135" s="11">
        <v>1</v>
      </c>
      <c r="E1135" s="11" t="s">
        <v>4</v>
      </c>
      <c r="F1135" s="12">
        <v>20600</v>
      </c>
      <c r="G1135" s="12">
        <v>20600</v>
      </c>
      <c r="H1135" s="11" t="str">
        <f t="shared" si="40"/>
        <v>平成4年12月5日</v>
      </c>
      <c r="I1135" s="22">
        <f t="shared" si="39"/>
        <v>33943</v>
      </c>
      <c r="J1135" s="1" t="str">
        <f>"00740977"</f>
        <v>00740977</v>
      </c>
      <c r="K1135" s="1" t="str">
        <f>"１０１０　　　　　　　　　　　　　　　　"</f>
        <v>１０１０　　　　　　　　　　　　　　　　</v>
      </c>
      <c r="L1135" s="1"/>
    </row>
    <row r="1136" spans="1:12" ht="18" customHeight="1" x14ac:dyDescent="0.15">
      <c r="A1136" s="11">
        <v>2293</v>
      </c>
      <c r="B1136" s="11" t="s">
        <v>53</v>
      </c>
      <c r="C1136" s="11" t="s">
        <v>156</v>
      </c>
      <c r="D1136" s="11">
        <v>1</v>
      </c>
      <c r="E1136" s="11" t="s">
        <v>4</v>
      </c>
      <c r="F1136" s="12">
        <v>20600</v>
      </c>
      <c r="G1136" s="12">
        <v>20600</v>
      </c>
      <c r="H1136" s="11" t="str">
        <f t="shared" si="40"/>
        <v>平成4年12月5日</v>
      </c>
      <c r="I1136" s="22">
        <f t="shared" si="39"/>
        <v>33943</v>
      </c>
      <c r="J1136" s="1" t="str">
        <f>"00740979"</f>
        <v>00740979</v>
      </c>
      <c r="K1136" s="1" t="str">
        <f>"１０１１　　　　　　　　　　　　　　　　"</f>
        <v>１０１１　　　　　　　　　　　　　　　　</v>
      </c>
      <c r="L1136" s="1"/>
    </row>
    <row r="1137" spans="1:12" ht="18" customHeight="1" x14ac:dyDescent="0.15">
      <c r="A1137" s="11">
        <v>2294</v>
      </c>
      <c r="B1137" s="11" t="s">
        <v>53</v>
      </c>
      <c r="C1137" s="11" t="s">
        <v>156</v>
      </c>
      <c r="D1137" s="11">
        <v>1</v>
      </c>
      <c r="E1137" s="11" t="s">
        <v>4</v>
      </c>
      <c r="F1137" s="12">
        <v>20600</v>
      </c>
      <c r="G1137" s="12">
        <v>20600</v>
      </c>
      <c r="H1137" s="11" t="str">
        <f t="shared" si="40"/>
        <v>平成4年12月5日</v>
      </c>
      <c r="I1137" s="22">
        <f t="shared" si="39"/>
        <v>33943</v>
      </c>
      <c r="J1137" s="1" t="str">
        <f>"00740981"</f>
        <v>00740981</v>
      </c>
      <c r="K1137" s="1" t="str">
        <f>"１０１２　　　　　　　　　　　　　　　　"</f>
        <v>１０１２　　　　　　　　　　　　　　　　</v>
      </c>
      <c r="L1137" s="1"/>
    </row>
    <row r="1138" spans="1:12" ht="18" customHeight="1" x14ac:dyDescent="0.15">
      <c r="A1138" s="11">
        <v>2295</v>
      </c>
      <c r="B1138" s="11" t="s">
        <v>53</v>
      </c>
      <c r="C1138" s="11" t="s">
        <v>156</v>
      </c>
      <c r="D1138" s="11">
        <v>1</v>
      </c>
      <c r="E1138" s="11" t="s">
        <v>4</v>
      </c>
      <c r="F1138" s="12">
        <v>20600</v>
      </c>
      <c r="G1138" s="12">
        <v>20600</v>
      </c>
      <c r="H1138" s="11" t="str">
        <f t="shared" si="40"/>
        <v>平成4年12月5日</v>
      </c>
      <c r="I1138" s="22">
        <f t="shared" si="39"/>
        <v>33943</v>
      </c>
      <c r="J1138" s="1" t="str">
        <f>"00740983"</f>
        <v>00740983</v>
      </c>
      <c r="K1138" s="1" t="str">
        <f>"１０１３　　　　　　　　　　　　　　　　"</f>
        <v>１０１３　　　　　　　　　　　　　　　　</v>
      </c>
      <c r="L1138" s="1"/>
    </row>
    <row r="1139" spans="1:12" ht="18" customHeight="1" x14ac:dyDescent="0.15">
      <c r="A1139" s="11">
        <v>2296</v>
      </c>
      <c r="B1139" s="11" t="s">
        <v>53</v>
      </c>
      <c r="C1139" s="11" t="s">
        <v>156</v>
      </c>
      <c r="D1139" s="11">
        <v>1</v>
      </c>
      <c r="E1139" s="11" t="s">
        <v>4</v>
      </c>
      <c r="F1139" s="12">
        <v>20600</v>
      </c>
      <c r="G1139" s="12">
        <v>20600</v>
      </c>
      <c r="H1139" s="11" t="str">
        <f t="shared" si="40"/>
        <v>平成4年12月5日</v>
      </c>
      <c r="I1139" s="22">
        <f t="shared" si="39"/>
        <v>33943</v>
      </c>
      <c r="J1139" s="1" t="str">
        <f>"00740985"</f>
        <v>00740985</v>
      </c>
      <c r="K1139" s="1" t="str">
        <f>"１０１４　　　　　　　　　　　　　　　　"</f>
        <v>１０１４　　　　　　　　　　　　　　　　</v>
      </c>
      <c r="L1139" s="1"/>
    </row>
    <row r="1140" spans="1:12" ht="18" customHeight="1" x14ac:dyDescent="0.15">
      <c r="A1140" s="11">
        <v>2297</v>
      </c>
      <c r="B1140" s="11" t="s">
        <v>53</v>
      </c>
      <c r="C1140" s="11" t="s">
        <v>156</v>
      </c>
      <c r="D1140" s="11">
        <v>1</v>
      </c>
      <c r="E1140" s="11" t="s">
        <v>4</v>
      </c>
      <c r="F1140" s="12">
        <v>20600</v>
      </c>
      <c r="G1140" s="12">
        <v>20600</v>
      </c>
      <c r="H1140" s="11" t="str">
        <f t="shared" si="40"/>
        <v>平成4年12月5日</v>
      </c>
      <c r="I1140" s="22">
        <f t="shared" si="39"/>
        <v>33943</v>
      </c>
      <c r="J1140" s="1" t="str">
        <f>"00740987"</f>
        <v>00740987</v>
      </c>
      <c r="K1140" s="1" t="str">
        <f>"１０１５　　　　　　　　　　　　　　　　"</f>
        <v>１０１５　　　　　　　　　　　　　　　　</v>
      </c>
      <c r="L1140" s="1"/>
    </row>
    <row r="1141" spans="1:12" ht="18" customHeight="1" x14ac:dyDescent="0.15">
      <c r="A1141" s="11">
        <v>2298</v>
      </c>
      <c r="B1141" s="11" t="s">
        <v>53</v>
      </c>
      <c r="C1141" s="11" t="s">
        <v>156</v>
      </c>
      <c r="D1141" s="11">
        <v>1</v>
      </c>
      <c r="E1141" s="11" t="s">
        <v>4</v>
      </c>
      <c r="F1141" s="12">
        <v>20600</v>
      </c>
      <c r="G1141" s="12">
        <v>20600</v>
      </c>
      <c r="H1141" s="11" t="str">
        <f t="shared" si="40"/>
        <v>平成4年12月5日</v>
      </c>
      <c r="I1141" s="22">
        <f t="shared" si="39"/>
        <v>33943</v>
      </c>
      <c r="J1141" s="1" t="str">
        <f>"00740989"</f>
        <v>00740989</v>
      </c>
      <c r="K1141" s="1" t="str">
        <f>"１０１６　　　　　　　　　　　　　　　　"</f>
        <v>１０１６　　　　　　　　　　　　　　　　</v>
      </c>
      <c r="L1141" s="1"/>
    </row>
    <row r="1142" spans="1:12" ht="18" customHeight="1" x14ac:dyDescent="0.15">
      <c r="A1142" s="11">
        <v>2299</v>
      </c>
      <c r="B1142" s="11" t="s">
        <v>53</v>
      </c>
      <c r="C1142" s="11" t="s">
        <v>156</v>
      </c>
      <c r="D1142" s="11">
        <v>1</v>
      </c>
      <c r="E1142" s="11" t="s">
        <v>4</v>
      </c>
      <c r="F1142" s="12">
        <v>20600</v>
      </c>
      <c r="G1142" s="12">
        <v>20600</v>
      </c>
      <c r="H1142" s="11" t="str">
        <f t="shared" si="40"/>
        <v>平成4年12月5日</v>
      </c>
      <c r="I1142" s="22">
        <f t="shared" si="39"/>
        <v>33943</v>
      </c>
      <c r="J1142" s="1" t="str">
        <f>"00740991"</f>
        <v>00740991</v>
      </c>
      <c r="K1142" s="1" t="str">
        <f>"１０１７　　　　　　　　　　　　　　　　"</f>
        <v>１０１７　　　　　　　　　　　　　　　　</v>
      </c>
      <c r="L1142" s="1"/>
    </row>
    <row r="1143" spans="1:12" ht="18" customHeight="1" x14ac:dyDescent="0.15">
      <c r="A1143" s="11">
        <v>2300</v>
      </c>
      <c r="B1143" s="11" t="s">
        <v>53</v>
      </c>
      <c r="C1143" s="11" t="s">
        <v>156</v>
      </c>
      <c r="D1143" s="11">
        <v>1</v>
      </c>
      <c r="E1143" s="11" t="s">
        <v>4</v>
      </c>
      <c r="F1143" s="12">
        <v>20600</v>
      </c>
      <c r="G1143" s="12">
        <v>20600</v>
      </c>
      <c r="H1143" s="11" t="str">
        <f t="shared" si="40"/>
        <v>平成4年12月5日</v>
      </c>
      <c r="I1143" s="22">
        <f t="shared" si="39"/>
        <v>33943</v>
      </c>
      <c r="J1143" s="1" t="str">
        <f>"00740993"</f>
        <v>00740993</v>
      </c>
      <c r="K1143" s="1" t="str">
        <f>"１０１８　　　　　　　　　　　　　　　　"</f>
        <v>１０１８　　　　　　　　　　　　　　　　</v>
      </c>
      <c r="L1143" s="1"/>
    </row>
    <row r="1144" spans="1:12" ht="18" customHeight="1" x14ac:dyDescent="0.15">
      <c r="A1144" s="11">
        <v>2301</v>
      </c>
      <c r="B1144" s="11" t="s">
        <v>53</v>
      </c>
      <c r="C1144" s="11" t="s">
        <v>156</v>
      </c>
      <c r="D1144" s="11">
        <v>1</v>
      </c>
      <c r="E1144" s="11" t="s">
        <v>4</v>
      </c>
      <c r="F1144" s="12">
        <v>20600</v>
      </c>
      <c r="G1144" s="12">
        <v>20600</v>
      </c>
      <c r="H1144" s="11" t="str">
        <f t="shared" si="40"/>
        <v>平成4年12月5日</v>
      </c>
      <c r="I1144" s="22">
        <f t="shared" si="39"/>
        <v>33943</v>
      </c>
      <c r="J1144" s="1" t="str">
        <f>"00740995"</f>
        <v>00740995</v>
      </c>
      <c r="K1144" s="1" t="str">
        <f>"１０１９　　　　　　　　　　　　　　　　"</f>
        <v>１０１９　　　　　　　　　　　　　　　　</v>
      </c>
      <c r="L1144" s="1"/>
    </row>
    <row r="1145" spans="1:12" ht="18" customHeight="1" x14ac:dyDescent="0.15">
      <c r="A1145" s="11">
        <v>2302</v>
      </c>
      <c r="B1145" s="11" t="s">
        <v>53</v>
      </c>
      <c r="C1145" s="11" t="s">
        <v>156</v>
      </c>
      <c r="D1145" s="11">
        <v>1</v>
      </c>
      <c r="E1145" s="11" t="s">
        <v>4</v>
      </c>
      <c r="F1145" s="12">
        <v>20600</v>
      </c>
      <c r="G1145" s="12">
        <v>20600</v>
      </c>
      <c r="H1145" s="11" t="str">
        <f t="shared" si="40"/>
        <v>平成4年12月5日</v>
      </c>
      <c r="I1145" s="22">
        <f t="shared" si="39"/>
        <v>33943</v>
      </c>
      <c r="J1145" s="1" t="str">
        <f>"00740997"</f>
        <v>00740997</v>
      </c>
      <c r="K1145" s="1" t="str">
        <f>"１０２０　　　　　　　　　　　　　　　　"</f>
        <v>１０２０　　　　　　　　　　　　　　　　</v>
      </c>
      <c r="L1145" s="1"/>
    </row>
    <row r="1146" spans="1:12" ht="18" customHeight="1" x14ac:dyDescent="0.15">
      <c r="A1146" s="11">
        <v>2303</v>
      </c>
      <c r="B1146" s="11" t="s">
        <v>53</v>
      </c>
      <c r="C1146" s="11" t="s">
        <v>156</v>
      </c>
      <c r="D1146" s="11">
        <v>1</v>
      </c>
      <c r="E1146" s="11" t="s">
        <v>4</v>
      </c>
      <c r="F1146" s="12">
        <v>20600</v>
      </c>
      <c r="G1146" s="12">
        <v>20600</v>
      </c>
      <c r="H1146" s="11" t="str">
        <f t="shared" si="40"/>
        <v>平成4年12月5日</v>
      </c>
      <c r="I1146" s="22">
        <f t="shared" si="39"/>
        <v>33943</v>
      </c>
      <c r="J1146" s="1" t="str">
        <f>"00740999"</f>
        <v>00740999</v>
      </c>
      <c r="K1146" s="1" t="str">
        <f>"１０２１　　　　　　　　　　　　　　　　"</f>
        <v>１０２１　　　　　　　　　　　　　　　　</v>
      </c>
      <c r="L1146" s="1"/>
    </row>
    <row r="1147" spans="1:12" ht="18" customHeight="1" x14ac:dyDescent="0.15">
      <c r="A1147" s="11">
        <v>2304</v>
      </c>
      <c r="B1147" s="11" t="s">
        <v>53</v>
      </c>
      <c r="C1147" s="11" t="s">
        <v>156</v>
      </c>
      <c r="D1147" s="11">
        <v>1</v>
      </c>
      <c r="E1147" s="11" t="s">
        <v>4</v>
      </c>
      <c r="F1147" s="12">
        <v>20600</v>
      </c>
      <c r="G1147" s="12">
        <v>20600</v>
      </c>
      <c r="H1147" s="11" t="str">
        <f t="shared" si="40"/>
        <v>平成4年12月5日</v>
      </c>
      <c r="I1147" s="22">
        <f t="shared" si="39"/>
        <v>33943</v>
      </c>
      <c r="J1147" s="1" t="str">
        <f>"00741001"</f>
        <v>00741001</v>
      </c>
      <c r="K1147" s="1" t="str">
        <f>"１０２２　　　　　　　　　　　　　　　　"</f>
        <v>１０２２　　　　　　　　　　　　　　　　</v>
      </c>
      <c r="L1147" s="1"/>
    </row>
    <row r="1148" spans="1:12" ht="18" customHeight="1" x14ac:dyDescent="0.15">
      <c r="A1148" s="11">
        <v>2305</v>
      </c>
      <c r="B1148" s="11" t="s">
        <v>53</v>
      </c>
      <c r="C1148" s="11" t="s">
        <v>156</v>
      </c>
      <c r="D1148" s="11">
        <v>1</v>
      </c>
      <c r="E1148" s="11" t="s">
        <v>4</v>
      </c>
      <c r="F1148" s="12">
        <v>20600</v>
      </c>
      <c r="G1148" s="12">
        <v>20600</v>
      </c>
      <c r="H1148" s="11" t="str">
        <f t="shared" si="40"/>
        <v>平成4年12月5日</v>
      </c>
      <c r="I1148" s="22">
        <f t="shared" si="39"/>
        <v>33943</v>
      </c>
      <c r="J1148" s="1" t="str">
        <f>"00741003"</f>
        <v>00741003</v>
      </c>
      <c r="K1148" s="1" t="str">
        <f>"１０２３　　　　　　　　　　　　　　　　"</f>
        <v>１０２３　　　　　　　　　　　　　　　　</v>
      </c>
      <c r="L1148" s="1"/>
    </row>
    <row r="1149" spans="1:12" ht="18" customHeight="1" x14ac:dyDescent="0.15">
      <c r="A1149" s="11">
        <v>2306</v>
      </c>
      <c r="B1149" s="11" t="s">
        <v>53</v>
      </c>
      <c r="C1149" s="11" t="s">
        <v>156</v>
      </c>
      <c r="D1149" s="11">
        <v>1</v>
      </c>
      <c r="E1149" s="11" t="s">
        <v>4</v>
      </c>
      <c r="F1149" s="12">
        <v>20600</v>
      </c>
      <c r="G1149" s="12">
        <v>20600</v>
      </c>
      <c r="H1149" s="11" t="str">
        <f t="shared" si="40"/>
        <v>平成4年12月5日</v>
      </c>
      <c r="I1149" s="22">
        <f t="shared" si="39"/>
        <v>33943</v>
      </c>
      <c r="J1149" s="1" t="str">
        <f>"00741005"</f>
        <v>00741005</v>
      </c>
      <c r="K1149" s="1" t="str">
        <f>"１０２４　　　　　　　　　　　　　　　　"</f>
        <v>１０２４　　　　　　　　　　　　　　　　</v>
      </c>
      <c r="L1149" s="1"/>
    </row>
    <row r="1150" spans="1:12" ht="18" customHeight="1" x14ac:dyDescent="0.15">
      <c r="A1150" s="11">
        <v>2307</v>
      </c>
      <c r="B1150" s="11" t="s">
        <v>53</v>
      </c>
      <c r="C1150" s="11" t="s">
        <v>156</v>
      </c>
      <c r="D1150" s="11">
        <v>1</v>
      </c>
      <c r="E1150" s="11" t="s">
        <v>4</v>
      </c>
      <c r="F1150" s="12">
        <v>20600</v>
      </c>
      <c r="G1150" s="12">
        <v>20600</v>
      </c>
      <c r="H1150" s="11" t="str">
        <f t="shared" si="40"/>
        <v>平成4年12月5日</v>
      </c>
      <c r="I1150" s="22">
        <f t="shared" si="39"/>
        <v>33943</v>
      </c>
      <c r="J1150" s="1" t="str">
        <f>"00741007"</f>
        <v>00741007</v>
      </c>
      <c r="K1150" s="1" t="str">
        <f>"１０２５　　　　　　　　　　　　　　　　"</f>
        <v>１０２５　　　　　　　　　　　　　　　　</v>
      </c>
      <c r="L1150" s="1"/>
    </row>
    <row r="1151" spans="1:12" ht="18" customHeight="1" x14ac:dyDescent="0.15">
      <c r="A1151" s="11">
        <v>2308</v>
      </c>
      <c r="B1151" s="11" t="s">
        <v>53</v>
      </c>
      <c r="C1151" s="11" t="s">
        <v>156</v>
      </c>
      <c r="D1151" s="11">
        <v>1</v>
      </c>
      <c r="E1151" s="11" t="s">
        <v>4</v>
      </c>
      <c r="F1151" s="12">
        <v>20600</v>
      </c>
      <c r="G1151" s="12">
        <v>20600</v>
      </c>
      <c r="H1151" s="11" t="str">
        <f t="shared" si="40"/>
        <v>平成4年12月5日</v>
      </c>
      <c r="I1151" s="22">
        <f t="shared" si="39"/>
        <v>33943</v>
      </c>
      <c r="J1151" s="1" t="str">
        <f>"00741009"</f>
        <v>00741009</v>
      </c>
      <c r="K1151" s="1" t="str">
        <f>"１０２６　　　　　　　　　　　　　　　　"</f>
        <v>１０２６　　　　　　　　　　　　　　　　</v>
      </c>
      <c r="L1151" s="1"/>
    </row>
    <row r="1152" spans="1:12" ht="18" customHeight="1" x14ac:dyDescent="0.15">
      <c r="A1152" s="11">
        <v>2309</v>
      </c>
      <c r="B1152" s="11" t="s">
        <v>53</v>
      </c>
      <c r="C1152" s="11" t="s">
        <v>156</v>
      </c>
      <c r="D1152" s="11">
        <v>1</v>
      </c>
      <c r="E1152" s="11" t="s">
        <v>4</v>
      </c>
      <c r="F1152" s="12">
        <v>20600</v>
      </c>
      <c r="G1152" s="12">
        <v>20600</v>
      </c>
      <c r="H1152" s="11" t="str">
        <f t="shared" si="40"/>
        <v>平成4年12月5日</v>
      </c>
      <c r="I1152" s="22">
        <f t="shared" si="39"/>
        <v>33943</v>
      </c>
      <c r="J1152" s="1" t="str">
        <f>"00741011"</f>
        <v>00741011</v>
      </c>
      <c r="K1152" s="1" t="str">
        <f>"１０２７　　　　　　　　　　　　　　　　"</f>
        <v>１０２７　　　　　　　　　　　　　　　　</v>
      </c>
      <c r="L1152" s="1"/>
    </row>
    <row r="1153" spans="1:12" ht="18" customHeight="1" x14ac:dyDescent="0.15">
      <c r="A1153" s="11">
        <v>2310</v>
      </c>
      <c r="B1153" s="11" t="s">
        <v>53</v>
      </c>
      <c r="C1153" s="11" t="s">
        <v>156</v>
      </c>
      <c r="D1153" s="11">
        <v>1</v>
      </c>
      <c r="E1153" s="11" t="s">
        <v>4</v>
      </c>
      <c r="F1153" s="12">
        <v>20600</v>
      </c>
      <c r="G1153" s="12">
        <v>20600</v>
      </c>
      <c r="H1153" s="11" t="str">
        <f t="shared" si="40"/>
        <v>平成4年12月5日</v>
      </c>
      <c r="I1153" s="22">
        <f t="shared" si="39"/>
        <v>33943</v>
      </c>
      <c r="J1153" s="1" t="str">
        <f>"00741013"</f>
        <v>00741013</v>
      </c>
      <c r="K1153" s="1" t="str">
        <f>"１０２８　　　　　　　　　　　　　　　　"</f>
        <v>１０２８　　　　　　　　　　　　　　　　</v>
      </c>
      <c r="L1153" s="1"/>
    </row>
    <row r="1154" spans="1:12" ht="18" customHeight="1" x14ac:dyDescent="0.15">
      <c r="A1154" s="11">
        <v>2311</v>
      </c>
      <c r="B1154" s="11" t="s">
        <v>53</v>
      </c>
      <c r="C1154" s="11" t="s">
        <v>156</v>
      </c>
      <c r="D1154" s="11">
        <v>1</v>
      </c>
      <c r="E1154" s="11" t="s">
        <v>4</v>
      </c>
      <c r="F1154" s="12">
        <v>20600</v>
      </c>
      <c r="G1154" s="12">
        <v>20600</v>
      </c>
      <c r="H1154" s="11" t="str">
        <f t="shared" si="40"/>
        <v>平成4年12月5日</v>
      </c>
      <c r="I1154" s="22">
        <f t="shared" si="39"/>
        <v>33943</v>
      </c>
      <c r="J1154" s="1" t="str">
        <f>"00741015"</f>
        <v>00741015</v>
      </c>
      <c r="K1154" s="1" t="str">
        <f>"１０２９　　　　　　　　　　　　　　　　"</f>
        <v>１０２９　　　　　　　　　　　　　　　　</v>
      </c>
      <c r="L1154" s="1"/>
    </row>
    <row r="1155" spans="1:12" ht="18" customHeight="1" x14ac:dyDescent="0.15">
      <c r="A1155" s="11">
        <v>2312</v>
      </c>
      <c r="B1155" s="11" t="s">
        <v>53</v>
      </c>
      <c r="C1155" s="11" t="s">
        <v>156</v>
      </c>
      <c r="D1155" s="11">
        <v>1</v>
      </c>
      <c r="E1155" s="11" t="s">
        <v>4</v>
      </c>
      <c r="F1155" s="12">
        <v>20600</v>
      </c>
      <c r="G1155" s="12">
        <v>20600</v>
      </c>
      <c r="H1155" s="11" t="str">
        <f t="shared" si="40"/>
        <v>平成4年12月5日</v>
      </c>
      <c r="I1155" s="22">
        <f t="shared" si="39"/>
        <v>33943</v>
      </c>
      <c r="J1155" s="1" t="str">
        <f>"00741017"</f>
        <v>00741017</v>
      </c>
      <c r="K1155" s="1" t="str">
        <f>"１０３０　　　　　　　　　　　　　　　　"</f>
        <v>１０３０　　　　　　　　　　　　　　　　</v>
      </c>
      <c r="L1155" s="1"/>
    </row>
    <row r="1156" spans="1:12" ht="18" customHeight="1" x14ac:dyDescent="0.15">
      <c r="A1156" s="11">
        <v>2313</v>
      </c>
      <c r="B1156" s="11" t="s">
        <v>53</v>
      </c>
      <c r="C1156" s="11" t="s">
        <v>156</v>
      </c>
      <c r="D1156" s="11">
        <v>1</v>
      </c>
      <c r="E1156" s="11" t="s">
        <v>4</v>
      </c>
      <c r="F1156" s="12">
        <v>20600</v>
      </c>
      <c r="G1156" s="12">
        <v>20600</v>
      </c>
      <c r="H1156" s="11" t="str">
        <f t="shared" si="40"/>
        <v>平成4年12月5日</v>
      </c>
      <c r="I1156" s="22">
        <f t="shared" si="39"/>
        <v>33943</v>
      </c>
      <c r="J1156" s="1" t="str">
        <f>"00741019"</f>
        <v>00741019</v>
      </c>
      <c r="K1156" s="1" t="str">
        <f>"１０３１　　　　　　　　　　　　　　　　"</f>
        <v>１０３１　　　　　　　　　　　　　　　　</v>
      </c>
      <c r="L1156" s="1"/>
    </row>
    <row r="1157" spans="1:12" ht="18" customHeight="1" x14ac:dyDescent="0.15">
      <c r="A1157" s="11">
        <v>2314</v>
      </c>
      <c r="B1157" s="11" t="s">
        <v>53</v>
      </c>
      <c r="C1157" s="11" t="s">
        <v>156</v>
      </c>
      <c r="D1157" s="11">
        <v>1</v>
      </c>
      <c r="E1157" s="11" t="s">
        <v>4</v>
      </c>
      <c r="F1157" s="12">
        <v>20600</v>
      </c>
      <c r="G1157" s="12">
        <v>20600</v>
      </c>
      <c r="H1157" s="11" t="str">
        <f t="shared" si="40"/>
        <v>平成4年12月5日</v>
      </c>
      <c r="I1157" s="22">
        <f t="shared" si="39"/>
        <v>33943</v>
      </c>
      <c r="J1157" s="1" t="str">
        <f>"00741021"</f>
        <v>00741021</v>
      </c>
      <c r="K1157" s="1" t="str">
        <f>"１０３２　　　　　　　　　　　　　　　　"</f>
        <v>１０３２　　　　　　　　　　　　　　　　</v>
      </c>
      <c r="L1157" s="1"/>
    </row>
    <row r="1158" spans="1:12" ht="18" customHeight="1" x14ac:dyDescent="0.15">
      <c r="A1158" s="11">
        <v>2315</v>
      </c>
      <c r="B1158" s="11" t="s">
        <v>53</v>
      </c>
      <c r="C1158" s="11" t="s">
        <v>156</v>
      </c>
      <c r="D1158" s="11">
        <v>1</v>
      </c>
      <c r="E1158" s="11" t="s">
        <v>4</v>
      </c>
      <c r="F1158" s="12">
        <v>20600</v>
      </c>
      <c r="G1158" s="12">
        <v>20600</v>
      </c>
      <c r="H1158" s="11" t="str">
        <f t="shared" si="40"/>
        <v>平成4年12月5日</v>
      </c>
      <c r="I1158" s="22">
        <f t="shared" si="39"/>
        <v>33943</v>
      </c>
      <c r="J1158" s="1" t="str">
        <f>"00741023"</f>
        <v>00741023</v>
      </c>
      <c r="K1158" s="1" t="str">
        <f>"１０３３　　　　　　　　　　　　　　　　"</f>
        <v>１０３３　　　　　　　　　　　　　　　　</v>
      </c>
      <c r="L1158" s="1"/>
    </row>
    <row r="1159" spans="1:12" ht="18" customHeight="1" x14ac:dyDescent="0.15">
      <c r="A1159" s="11">
        <v>2316</v>
      </c>
      <c r="B1159" s="11" t="s">
        <v>53</v>
      </c>
      <c r="C1159" s="11" t="s">
        <v>156</v>
      </c>
      <c r="D1159" s="11">
        <v>1</v>
      </c>
      <c r="E1159" s="11" t="s">
        <v>4</v>
      </c>
      <c r="F1159" s="12">
        <v>20600</v>
      </c>
      <c r="G1159" s="12">
        <v>20600</v>
      </c>
      <c r="H1159" s="11" t="str">
        <f t="shared" si="40"/>
        <v>平成4年12月5日</v>
      </c>
      <c r="I1159" s="22">
        <f t="shared" si="39"/>
        <v>33943</v>
      </c>
      <c r="J1159" s="1" t="str">
        <f>"00741025"</f>
        <v>00741025</v>
      </c>
      <c r="K1159" s="1" t="str">
        <f>"１０３４　　　　　　　　　　　　　　　　"</f>
        <v>１０３４　　　　　　　　　　　　　　　　</v>
      </c>
      <c r="L1159" s="1"/>
    </row>
    <row r="1160" spans="1:12" ht="18" customHeight="1" x14ac:dyDescent="0.15">
      <c r="A1160" s="11">
        <v>2317</v>
      </c>
      <c r="B1160" s="11" t="s">
        <v>53</v>
      </c>
      <c r="C1160" s="11" t="s">
        <v>156</v>
      </c>
      <c r="D1160" s="11">
        <v>1</v>
      </c>
      <c r="E1160" s="11" t="s">
        <v>4</v>
      </c>
      <c r="F1160" s="12">
        <v>20600</v>
      </c>
      <c r="G1160" s="12">
        <v>20600</v>
      </c>
      <c r="H1160" s="11" t="str">
        <f t="shared" si="40"/>
        <v>平成4年12月5日</v>
      </c>
      <c r="I1160" s="22">
        <f t="shared" si="39"/>
        <v>33943</v>
      </c>
      <c r="J1160" s="1" t="str">
        <f>"00741027"</f>
        <v>00741027</v>
      </c>
      <c r="K1160" s="1" t="str">
        <f>"１０３５　　　　　　　　　　　　　　　　"</f>
        <v>１０３５　　　　　　　　　　　　　　　　</v>
      </c>
      <c r="L1160" s="1"/>
    </row>
    <row r="1161" spans="1:12" ht="18" customHeight="1" x14ac:dyDescent="0.15">
      <c r="A1161" s="11">
        <v>2318</v>
      </c>
      <c r="B1161" s="11" t="s">
        <v>53</v>
      </c>
      <c r="C1161" s="11" t="s">
        <v>156</v>
      </c>
      <c r="D1161" s="11">
        <v>1</v>
      </c>
      <c r="E1161" s="11" t="s">
        <v>4</v>
      </c>
      <c r="F1161" s="12">
        <v>20600</v>
      </c>
      <c r="G1161" s="12">
        <v>20600</v>
      </c>
      <c r="H1161" s="11" t="str">
        <f t="shared" si="40"/>
        <v>平成4年12月5日</v>
      </c>
      <c r="I1161" s="22">
        <f t="shared" si="39"/>
        <v>33943</v>
      </c>
      <c r="J1161" s="1" t="str">
        <f>"00741029"</f>
        <v>00741029</v>
      </c>
      <c r="K1161" s="1" t="str">
        <f>"１０３６　　　　　　　　　　　　　　　　"</f>
        <v>１０３６　　　　　　　　　　　　　　　　</v>
      </c>
      <c r="L1161" s="1"/>
    </row>
    <row r="1162" spans="1:12" ht="18" customHeight="1" x14ac:dyDescent="0.15">
      <c r="A1162" s="11">
        <v>2319</v>
      </c>
      <c r="B1162" s="11" t="s">
        <v>53</v>
      </c>
      <c r="C1162" s="11" t="s">
        <v>156</v>
      </c>
      <c r="D1162" s="11">
        <v>1</v>
      </c>
      <c r="E1162" s="11" t="s">
        <v>4</v>
      </c>
      <c r="F1162" s="12">
        <v>20600</v>
      </c>
      <c r="G1162" s="12">
        <v>20600</v>
      </c>
      <c r="H1162" s="11" t="str">
        <f t="shared" si="40"/>
        <v>平成4年12月5日</v>
      </c>
      <c r="I1162" s="22">
        <f t="shared" si="39"/>
        <v>33943</v>
      </c>
      <c r="J1162" s="1" t="str">
        <f>"00741031"</f>
        <v>00741031</v>
      </c>
      <c r="K1162" s="1" t="str">
        <f>"１０３７　　　　　　　　　　　　　　　　"</f>
        <v>１０３７　　　　　　　　　　　　　　　　</v>
      </c>
      <c r="L1162" s="1"/>
    </row>
    <row r="1163" spans="1:12" ht="18" customHeight="1" x14ac:dyDescent="0.15">
      <c r="A1163" s="11">
        <v>2320</v>
      </c>
      <c r="B1163" s="11" t="s">
        <v>53</v>
      </c>
      <c r="C1163" s="11" t="s">
        <v>156</v>
      </c>
      <c r="D1163" s="11">
        <v>1</v>
      </c>
      <c r="E1163" s="11" t="s">
        <v>4</v>
      </c>
      <c r="F1163" s="12">
        <v>20600</v>
      </c>
      <c r="G1163" s="12">
        <v>20600</v>
      </c>
      <c r="H1163" s="11" t="str">
        <f t="shared" si="40"/>
        <v>平成4年12月5日</v>
      </c>
      <c r="I1163" s="22">
        <f t="shared" si="39"/>
        <v>33943</v>
      </c>
      <c r="J1163" s="1" t="str">
        <f>"00741033"</f>
        <v>00741033</v>
      </c>
      <c r="K1163" s="1" t="str">
        <f>"１０３８　　　　　　　　　　　　　　　　"</f>
        <v>１０３８　　　　　　　　　　　　　　　　</v>
      </c>
      <c r="L1163" s="1"/>
    </row>
    <row r="1164" spans="1:12" ht="18" customHeight="1" x14ac:dyDescent="0.15">
      <c r="A1164" s="11">
        <v>2321</v>
      </c>
      <c r="B1164" s="11" t="s">
        <v>53</v>
      </c>
      <c r="C1164" s="11" t="s">
        <v>156</v>
      </c>
      <c r="D1164" s="11">
        <v>1</v>
      </c>
      <c r="E1164" s="11" t="s">
        <v>4</v>
      </c>
      <c r="F1164" s="12">
        <v>20600</v>
      </c>
      <c r="G1164" s="12">
        <v>20600</v>
      </c>
      <c r="H1164" s="11" t="str">
        <f t="shared" si="40"/>
        <v>平成4年12月5日</v>
      </c>
      <c r="I1164" s="22">
        <f t="shared" si="39"/>
        <v>33943</v>
      </c>
      <c r="J1164" s="1" t="str">
        <f>"00741035"</f>
        <v>00741035</v>
      </c>
      <c r="K1164" s="1" t="str">
        <f>"１０３９　　　　　　　　　　　　　　　　"</f>
        <v>１０３９　　　　　　　　　　　　　　　　</v>
      </c>
      <c r="L1164" s="1"/>
    </row>
    <row r="1165" spans="1:12" ht="18" customHeight="1" x14ac:dyDescent="0.15">
      <c r="A1165" s="11">
        <v>2322</v>
      </c>
      <c r="B1165" s="11" t="s">
        <v>53</v>
      </c>
      <c r="C1165" s="11" t="s">
        <v>156</v>
      </c>
      <c r="D1165" s="11">
        <v>1</v>
      </c>
      <c r="E1165" s="11" t="s">
        <v>4</v>
      </c>
      <c r="F1165" s="12">
        <v>20600</v>
      </c>
      <c r="G1165" s="12">
        <v>20600</v>
      </c>
      <c r="H1165" s="11" t="str">
        <f t="shared" si="40"/>
        <v>平成4年12月5日</v>
      </c>
      <c r="I1165" s="22">
        <f t="shared" si="39"/>
        <v>33943</v>
      </c>
      <c r="J1165" s="1" t="str">
        <f>"00741037"</f>
        <v>00741037</v>
      </c>
      <c r="K1165" s="1" t="str">
        <f>"１０４０　　　　　　　　　　　　　　　　"</f>
        <v>１０４０　　　　　　　　　　　　　　　　</v>
      </c>
      <c r="L1165" s="1"/>
    </row>
    <row r="1166" spans="1:12" ht="18" customHeight="1" x14ac:dyDescent="0.15">
      <c r="A1166" s="11">
        <v>2323</v>
      </c>
      <c r="B1166" s="11" t="s">
        <v>53</v>
      </c>
      <c r="C1166" s="11" t="s">
        <v>156</v>
      </c>
      <c r="D1166" s="11">
        <v>1</v>
      </c>
      <c r="E1166" s="11" t="s">
        <v>4</v>
      </c>
      <c r="F1166" s="12">
        <v>20600</v>
      </c>
      <c r="G1166" s="12">
        <v>20600</v>
      </c>
      <c r="H1166" s="11" t="str">
        <f t="shared" si="40"/>
        <v>平成4年12月5日</v>
      </c>
      <c r="I1166" s="22">
        <f t="shared" si="39"/>
        <v>33943</v>
      </c>
      <c r="J1166" s="1" t="str">
        <f>"00741039"</f>
        <v>00741039</v>
      </c>
      <c r="K1166" s="1" t="str">
        <f>"１０４１　　　　　　　　　　　　　　　　"</f>
        <v>１０４１　　　　　　　　　　　　　　　　</v>
      </c>
      <c r="L1166" s="1"/>
    </row>
    <row r="1167" spans="1:12" ht="18" customHeight="1" x14ac:dyDescent="0.15">
      <c r="A1167" s="11">
        <v>2324</v>
      </c>
      <c r="B1167" s="11" t="s">
        <v>53</v>
      </c>
      <c r="C1167" s="11" t="s">
        <v>156</v>
      </c>
      <c r="D1167" s="11">
        <v>1</v>
      </c>
      <c r="E1167" s="11" t="s">
        <v>4</v>
      </c>
      <c r="F1167" s="12">
        <v>20600</v>
      </c>
      <c r="G1167" s="12">
        <v>20600</v>
      </c>
      <c r="H1167" s="11" t="str">
        <f t="shared" si="40"/>
        <v>平成4年12月5日</v>
      </c>
      <c r="I1167" s="22">
        <f t="shared" si="39"/>
        <v>33943</v>
      </c>
      <c r="J1167" s="1" t="str">
        <f>"00741041"</f>
        <v>00741041</v>
      </c>
      <c r="K1167" s="1" t="str">
        <f>"１０４２　　　　　　　　　　　　　　　　"</f>
        <v>１０４２　　　　　　　　　　　　　　　　</v>
      </c>
      <c r="L1167" s="1"/>
    </row>
    <row r="1168" spans="1:12" ht="18" customHeight="1" x14ac:dyDescent="0.15">
      <c r="A1168" s="11">
        <v>2325</v>
      </c>
      <c r="B1168" s="11" t="s">
        <v>53</v>
      </c>
      <c r="C1168" s="11" t="s">
        <v>156</v>
      </c>
      <c r="D1168" s="11">
        <v>1</v>
      </c>
      <c r="E1168" s="11" t="s">
        <v>4</v>
      </c>
      <c r="F1168" s="12">
        <v>20600</v>
      </c>
      <c r="G1168" s="12">
        <v>20600</v>
      </c>
      <c r="H1168" s="11" t="str">
        <f t="shared" si="40"/>
        <v>平成4年12月5日</v>
      </c>
      <c r="I1168" s="22">
        <f t="shared" si="39"/>
        <v>33943</v>
      </c>
      <c r="J1168" s="1" t="str">
        <f>"00741043"</f>
        <v>00741043</v>
      </c>
      <c r="K1168" s="1" t="str">
        <f>"１０４３　　　　　　　　　　　　　　　　"</f>
        <v>１０４３　　　　　　　　　　　　　　　　</v>
      </c>
      <c r="L1168" s="1"/>
    </row>
    <row r="1169" spans="1:12" ht="18" customHeight="1" x14ac:dyDescent="0.15">
      <c r="A1169" s="11">
        <v>2326</v>
      </c>
      <c r="B1169" s="11" t="s">
        <v>53</v>
      </c>
      <c r="C1169" s="11" t="s">
        <v>156</v>
      </c>
      <c r="D1169" s="11">
        <v>1</v>
      </c>
      <c r="E1169" s="11" t="s">
        <v>4</v>
      </c>
      <c r="F1169" s="12">
        <v>20600</v>
      </c>
      <c r="G1169" s="12">
        <v>20600</v>
      </c>
      <c r="H1169" s="11" t="str">
        <f t="shared" si="40"/>
        <v>平成4年12月5日</v>
      </c>
      <c r="I1169" s="22">
        <f t="shared" si="39"/>
        <v>33943</v>
      </c>
      <c r="J1169" s="1" t="str">
        <f>"00741045"</f>
        <v>00741045</v>
      </c>
      <c r="K1169" s="1" t="str">
        <f>"１０４４　　　　　　　　　　　　　　　　"</f>
        <v>１０４４　　　　　　　　　　　　　　　　</v>
      </c>
      <c r="L1169" s="1"/>
    </row>
    <row r="1170" spans="1:12" ht="18" customHeight="1" x14ac:dyDescent="0.15">
      <c r="A1170" s="11">
        <v>2327</v>
      </c>
      <c r="B1170" s="11" t="s">
        <v>53</v>
      </c>
      <c r="C1170" s="11" t="s">
        <v>156</v>
      </c>
      <c r="D1170" s="11">
        <v>1</v>
      </c>
      <c r="E1170" s="11" t="s">
        <v>4</v>
      </c>
      <c r="F1170" s="12">
        <v>20600</v>
      </c>
      <c r="G1170" s="12">
        <v>20600</v>
      </c>
      <c r="H1170" s="11" t="str">
        <f t="shared" si="40"/>
        <v>平成4年12月5日</v>
      </c>
      <c r="I1170" s="22">
        <f t="shared" ref="I1170:I1233" si="41">DATEVALUE(H1170)</f>
        <v>33943</v>
      </c>
      <c r="J1170" s="1" t="str">
        <f>"00741047"</f>
        <v>00741047</v>
      </c>
      <c r="K1170" s="1" t="str">
        <f>"１０４５　　　　　　　　　　　　　　　　"</f>
        <v>１０４５　　　　　　　　　　　　　　　　</v>
      </c>
      <c r="L1170" s="1"/>
    </row>
    <row r="1171" spans="1:12" ht="18" customHeight="1" x14ac:dyDescent="0.15">
      <c r="A1171" s="11">
        <v>2328</v>
      </c>
      <c r="B1171" s="11" t="s">
        <v>53</v>
      </c>
      <c r="C1171" s="11" t="s">
        <v>156</v>
      </c>
      <c r="D1171" s="11">
        <v>1</v>
      </c>
      <c r="E1171" s="11" t="s">
        <v>4</v>
      </c>
      <c r="F1171" s="12">
        <v>20600</v>
      </c>
      <c r="G1171" s="12">
        <v>20600</v>
      </c>
      <c r="H1171" s="11" t="str">
        <f t="shared" si="40"/>
        <v>平成4年12月5日</v>
      </c>
      <c r="I1171" s="22">
        <f t="shared" si="41"/>
        <v>33943</v>
      </c>
      <c r="J1171" s="1" t="str">
        <f>"00741049"</f>
        <v>00741049</v>
      </c>
      <c r="K1171" s="1" t="str">
        <f>"１０４６　　　　　　　　　　　　　　　　"</f>
        <v>１０４６　　　　　　　　　　　　　　　　</v>
      </c>
      <c r="L1171" s="1"/>
    </row>
    <row r="1172" spans="1:12" ht="18" customHeight="1" x14ac:dyDescent="0.15">
      <c r="A1172" s="11">
        <v>2329</v>
      </c>
      <c r="B1172" s="11" t="s">
        <v>53</v>
      </c>
      <c r="C1172" s="11" t="s">
        <v>156</v>
      </c>
      <c r="D1172" s="11">
        <v>1</v>
      </c>
      <c r="E1172" s="11" t="s">
        <v>4</v>
      </c>
      <c r="F1172" s="12">
        <v>20600</v>
      </c>
      <c r="G1172" s="12">
        <v>20600</v>
      </c>
      <c r="H1172" s="11" t="str">
        <f t="shared" si="40"/>
        <v>平成4年12月5日</v>
      </c>
      <c r="I1172" s="22">
        <f t="shared" si="41"/>
        <v>33943</v>
      </c>
      <c r="J1172" s="1" t="str">
        <f>"00741051"</f>
        <v>00741051</v>
      </c>
      <c r="K1172" s="1" t="str">
        <f>"１０４７　　　　　　　　　　　　　　　　"</f>
        <v>１０４７　　　　　　　　　　　　　　　　</v>
      </c>
      <c r="L1172" s="1"/>
    </row>
    <row r="1173" spans="1:12" ht="18" customHeight="1" x14ac:dyDescent="0.15">
      <c r="A1173" s="11">
        <v>2330</v>
      </c>
      <c r="B1173" s="11" t="s">
        <v>53</v>
      </c>
      <c r="C1173" s="11" t="s">
        <v>156</v>
      </c>
      <c r="D1173" s="11">
        <v>1</v>
      </c>
      <c r="E1173" s="11" t="s">
        <v>4</v>
      </c>
      <c r="F1173" s="12">
        <v>20600</v>
      </c>
      <c r="G1173" s="12">
        <v>20600</v>
      </c>
      <c r="H1173" s="11" t="str">
        <f t="shared" si="40"/>
        <v>平成4年12月5日</v>
      </c>
      <c r="I1173" s="22">
        <f t="shared" si="41"/>
        <v>33943</v>
      </c>
      <c r="J1173" s="1" t="str">
        <f>"00741053"</f>
        <v>00741053</v>
      </c>
      <c r="K1173" s="1" t="str">
        <f>"１０４８　　　　　　　　　　　　　　　　"</f>
        <v>１０４８　　　　　　　　　　　　　　　　</v>
      </c>
      <c r="L1173" s="1"/>
    </row>
    <row r="1174" spans="1:12" ht="18" customHeight="1" x14ac:dyDescent="0.15">
      <c r="A1174" s="11">
        <v>2331</v>
      </c>
      <c r="B1174" s="11" t="s">
        <v>53</v>
      </c>
      <c r="C1174" s="11" t="s">
        <v>156</v>
      </c>
      <c r="D1174" s="11">
        <v>1</v>
      </c>
      <c r="E1174" s="11" t="s">
        <v>4</v>
      </c>
      <c r="F1174" s="12">
        <v>20600</v>
      </c>
      <c r="G1174" s="12">
        <v>20600</v>
      </c>
      <c r="H1174" s="11" t="str">
        <f t="shared" si="40"/>
        <v>平成4年12月5日</v>
      </c>
      <c r="I1174" s="22">
        <f t="shared" si="41"/>
        <v>33943</v>
      </c>
      <c r="J1174" s="1" t="str">
        <f>"00741055"</f>
        <v>00741055</v>
      </c>
      <c r="K1174" s="1" t="str">
        <f>"１０４９　　　　　　　　　　　　　　　　"</f>
        <v>１０４９　　　　　　　　　　　　　　　　</v>
      </c>
      <c r="L1174" s="1"/>
    </row>
    <row r="1175" spans="1:12" ht="18" customHeight="1" x14ac:dyDescent="0.15">
      <c r="A1175" s="11">
        <v>2332</v>
      </c>
      <c r="B1175" s="11" t="s">
        <v>53</v>
      </c>
      <c r="C1175" s="11" t="s">
        <v>156</v>
      </c>
      <c r="D1175" s="11">
        <v>1</v>
      </c>
      <c r="E1175" s="11" t="s">
        <v>4</v>
      </c>
      <c r="F1175" s="12">
        <v>20600</v>
      </c>
      <c r="G1175" s="12">
        <v>20600</v>
      </c>
      <c r="H1175" s="11" t="str">
        <f t="shared" si="40"/>
        <v>平成4年12月5日</v>
      </c>
      <c r="I1175" s="22">
        <f t="shared" si="41"/>
        <v>33943</v>
      </c>
      <c r="J1175" s="1" t="str">
        <f>"00741057"</f>
        <v>00741057</v>
      </c>
      <c r="K1175" s="1" t="str">
        <f>"１０５０　　　　　　　　　　　　　　　　"</f>
        <v>１０５０　　　　　　　　　　　　　　　　</v>
      </c>
      <c r="L1175" s="1"/>
    </row>
    <row r="1176" spans="1:12" ht="18" customHeight="1" x14ac:dyDescent="0.15">
      <c r="A1176" s="11">
        <v>2333</v>
      </c>
      <c r="B1176" s="11" t="s">
        <v>53</v>
      </c>
      <c r="C1176" s="11" t="s">
        <v>156</v>
      </c>
      <c r="D1176" s="11">
        <v>1</v>
      </c>
      <c r="E1176" s="11" t="s">
        <v>4</v>
      </c>
      <c r="F1176" s="12">
        <v>20600</v>
      </c>
      <c r="G1176" s="12">
        <v>20600</v>
      </c>
      <c r="H1176" s="11" t="str">
        <f t="shared" si="40"/>
        <v>平成4年12月5日</v>
      </c>
      <c r="I1176" s="22">
        <f t="shared" si="41"/>
        <v>33943</v>
      </c>
      <c r="J1176" s="1" t="str">
        <f>"00741059"</f>
        <v>00741059</v>
      </c>
      <c r="K1176" s="1" t="str">
        <f>"１０５１　　　　　　　　　　　　　　　　"</f>
        <v>１０５１　　　　　　　　　　　　　　　　</v>
      </c>
      <c r="L1176" s="1"/>
    </row>
    <row r="1177" spans="1:12" ht="18" customHeight="1" x14ac:dyDescent="0.15">
      <c r="A1177" s="11">
        <v>2334</v>
      </c>
      <c r="B1177" s="11" t="s">
        <v>53</v>
      </c>
      <c r="C1177" s="11" t="s">
        <v>156</v>
      </c>
      <c r="D1177" s="11">
        <v>1</v>
      </c>
      <c r="E1177" s="11" t="s">
        <v>4</v>
      </c>
      <c r="F1177" s="12">
        <v>20600</v>
      </c>
      <c r="G1177" s="12">
        <v>20600</v>
      </c>
      <c r="H1177" s="11" t="str">
        <f t="shared" si="40"/>
        <v>平成4年12月5日</v>
      </c>
      <c r="I1177" s="22">
        <f t="shared" si="41"/>
        <v>33943</v>
      </c>
      <c r="J1177" s="1" t="str">
        <f>"00741061"</f>
        <v>00741061</v>
      </c>
      <c r="K1177" s="1" t="str">
        <f>"１０５２　　　　　　　　　　　　　　　　"</f>
        <v>１０５２　　　　　　　　　　　　　　　　</v>
      </c>
      <c r="L1177" s="1"/>
    </row>
    <row r="1178" spans="1:12" ht="18" customHeight="1" x14ac:dyDescent="0.15">
      <c r="A1178" s="11">
        <v>2335</v>
      </c>
      <c r="B1178" s="11" t="s">
        <v>53</v>
      </c>
      <c r="C1178" s="11" t="s">
        <v>156</v>
      </c>
      <c r="D1178" s="11">
        <v>1</v>
      </c>
      <c r="E1178" s="11" t="s">
        <v>4</v>
      </c>
      <c r="F1178" s="12">
        <v>20600</v>
      </c>
      <c r="G1178" s="12">
        <v>20600</v>
      </c>
      <c r="H1178" s="11" t="str">
        <f t="shared" si="40"/>
        <v>平成4年12月5日</v>
      </c>
      <c r="I1178" s="22">
        <f t="shared" si="41"/>
        <v>33943</v>
      </c>
      <c r="J1178" s="1" t="str">
        <f>"00741063"</f>
        <v>00741063</v>
      </c>
      <c r="K1178" s="1" t="str">
        <f>"１０５３　　　　　　　　　　　　　　　　"</f>
        <v>１０５３　　　　　　　　　　　　　　　　</v>
      </c>
      <c r="L1178" s="1"/>
    </row>
    <row r="1179" spans="1:12" ht="18" customHeight="1" x14ac:dyDescent="0.15">
      <c r="A1179" s="11">
        <v>2336</v>
      </c>
      <c r="B1179" s="11" t="s">
        <v>53</v>
      </c>
      <c r="C1179" s="11" t="s">
        <v>156</v>
      </c>
      <c r="D1179" s="11">
        <v>1</v>
      </c>
      <c r="E1179" s="11" t="s">
        <v>4</v>
      </c>
      <c r="F1179" s="12">
        <v>20600</v>
      </c>
      <c r="G1179" s="12">
        <v>20600</v>
      </c>
      <c r="H1179" s="11" t="str">
        <f t="shared" si="40"/>
        <v>平成4年12月5日</v>
      </c>
      <c r="I1179" s="22">
        <f t="shared" si="41"/>
        <v>33943</v>
      </c>
      <c r="J1179" s="1" t="str">
        <f>"00741065"</f>
        <v>00741065</v>
      </c>
      <c r="K1179" s="1" t="str">
        <f>"１０５４　　　　　　　　　　　　　　　　"</f>
        <v>１０５４　　　　　　　　　　　　　　　　</v>
      </c>
      <c r="L1179" s="1"/>
    </row>
    <row r="1180" spans="1:12" ht="18" customHeight="1" x14ac:dyDescent="0.15">
      <c r="A1180" s="11">
        <v>2337</v>
      </c>
      <c r="B1180" s="11" t="s">
        <v>53</v>
      </c>
      <c r="C1180" s="11" t="s">
        <v>156</v>
      </c>
      <c r="D1180" s="11">
        <v>1</v>
      </c>
      <c r="E1180" s="11" t="s">
        <v>4</v>
      </c>
      <c r="F1180" s="12">
        <v>20600</v>
      </c>
      <c r="G1180" s="12">
        <v>20600</v>
      </c>
      <c r="H1180" s="11" t="str">
        <f t="shared" si="40"/>
        <v>平成4年12月5日</v>
      </c>
      <c r="I1180" s="22">
        <f t="shared" si="41"/>
        <v>33943</v>
      </c>
      <c r="J1180" s="1" t="str">
        <f>"00741067"</f>
        <v>00741067</v>
      </c>
      <c r="K1180" s="1" t="str">
        <f>"１０５５　　　　　　　　　　　　　　　　"</f>
        <v>１０５５　　　　　　　　　　　　　　　　</v>
      </c>
      <c r="L1180" s="1"/>
    </row>
    <row r="1181" spans="1:12" ht="18" customHeight="1" x14ac:dyDescent="0.15">
      <c r="A1181" s="11">
        <v>2338</v>
      </c>
      <c r="B1181" s="11" t="s">
        <v>53</v>
      </c>
      <c r="C1181" s="11" t="s">
        <v>156</v>
      </c>
      <c r="D1181" s="11">
        <v>1</v>
      </c>
      <c r="E1181" s="11" t="s">
        <v>4</v>
      </c>
      <c r="F1181" s="12">
        <v>20600</v>
      </c>
      <c r="G1181" s="12">
        <v>20600</v>
      </c>
      <c r="H1181" s="11" t="str">
        <f t="shared" si="40"/>
        <v>平成4年12月5日</v>
      </c>
      <c r="I1181" s="22">
        <f t="shared" si="41"/>
        <v>33943</v>
      </c>
      <c r="J1181" s="1" t="str">
        <f>"00741069"</f>
        <v>00741069</v>
      </c>
      <c r="K1181" s="1" t="str">
        <f>"１０５６　　　　　　　　　　　　　　　　"</f>
        <v>１０５６　　　　　　　　　　　　　　　　</v>
      </c>
      <c r="L1181" s="1"/>
    </row>
    <row r="1182" spans="1:12" ht="18" customHeight="1" x14ac:dyDescent="0.15">
      <c r="A1182" s="11">
        <v>2339</v>
      </c>
      <c r="B1182" s="11" t="s">
        <v>53</v>
      </c>
      <c r="C1182" s="11" t="s">
        <v>156</v>
      </c>
      <c r="D1182" s="11">
        <v>1</v>
      </c>
      <c r="E1182" s="11" t="s">
        <v>4</v>
      </c>
      <c r="F1182" s="12">
        <v>20600</v>
      </c>
      <c r="G1182" s="12">
        <v>20600</v>
      </c>
      <c r="H1182" s="11" t="str">
        <f t="shared" si="40"/>
        <v>平成4年12月5日</v>
      </c>
      <c r="I1182" s="22">
        <f t="shared" si="41"/>
        <v>33943</v>
      </c>
      <c r="J1182" s="1" t="str">
        <f>"00741071"</f>
        <v>00741071</v>
      </c>
      <c r="K1182" s="1" t="str">
        <f>"１０５７　　　　　　　　　　　　　　　　"</f>
        <v>１０５７　　　　　　　　　　　　　　　　</v>
      </c>
      <c r="L1182" s="1"/>
    </row>
    <row r="1183" spans="1:12" ht="18" customHeight="1" x14ac:dyDescent="0.15">
      <c r="A1183" s="11">
        <v>2340</v>
      </c>
      <c r="B1183" s="11" t="s">
        <v>53</v>
      </c>
      <c r="C1183" s="11" t="s">
        <v>156</v>
      </c>
      <c r="D1183" s="11">
        <v>1</v>
      </c>
      <c r="E1183" s="11" t="s">
        <v>4</v>
      </c>
      <c r="F1183" s="12">
        <v>20600</v>
      </c>
      <c r="G1183" s="12">
        <v>20600</v>
      </c>
      <c r="H1183" s="11" t="str">
        <f t="shared" si="40"/>
        <v>平成4年12月5日</v>
      </c>
      <c r="I1183" s="22">
        <f t="shared" si="41"/>
        <v>33943</v>
      </c>
      <c r="J1183" s="1" t="str">
        <f>"00741073"</f>
        <v>00741073</v>
      </c>
      <c r="K1183" s="1" t="str">
        <f>"１０５８　　　　　　　　　　　　　　　　"</f>
        <v>１０５８　　　　　　　　　　　　　　　　</v>
      </c>
      <c r="L1183" s="1"/>
    </row>
    <row r="1184" spans="1:12" ht="18" customHeight="1" x14ac:dyDescent="0.15">
      <c r="A1184" s="11">
        <v>2341</v>
      </c>
      <c r="B1184" s="11" t="s">
        <v>53</v>
      </c>
      <c r="C1184" s="11" t="s">
        <v>156</v>
      </c>
      <c r="D1184" s="11">
        <v>1</v>
      </c>
      <c r="E1184" s="11" t="s">
        <v>4</v>
      </c>
      <c r="F1184" s="12">
        <v>20600</v>
      </c>
      <c r="G1184" s="12">
        <v>20600</v>
      </c>
      <c r="H1184" s="11" t="str">
        <f t="shared" si="40"/>
        <v>平成4年12月5日</v>
      </c>
      <c r="I1184" s="22">
        <f t="shared" si="41"/>
        <v>33943</v>
      </c>
      <c r="J1184" s="1" t="str">
        <f>"00741075"</f>
        <v>00741075</v>
      </c>
      <c r="K1184" s="1" t="str">
        <f>"１０５９　　　　　　　　　　　　　　　　"</f>
        <v>１０５９　　　　　　　　　　　　　　　　</v>
      </c>
      <c r="L1184" s="1"/>
    </row>
    <row r="1185" spans="1:12" ht="18" customHeight="1" x14ac:dyDescent="0.15">
      <c r="A1185" s="11">
        <v>2342</v>
      </c>
      <c r="B1185" s="11" t="s">
        <v>53</v>
      </c>
      <c r="C1185" s="11" t="s">
        <v>156</v>
      </c>
      <c r="D1185" s="11">
        <v>1</v>
      </c>
      <c r="E1185" s="11" t="s">
        <v>4</v>
      </c>
      <c r="F1185" s="12">
        <v>20600</v>
      </c>
      <c r="G1185" s="12">
        <v>20600</v>
      </c>
      <c r="H1185" s="11" t="str">
        <f t="shared" si="40"/>
        <v>平成4年12月5日</v>
      </c>
      <c r="I1185" s="22">
        <f t="shared" si="41"/>
        <v>33943</v>
      </c>
      <c r="J1185" s="1" t="str">
        <f>"00741077"</f>
        <v>00741077</v>
      </c>
      <c r="K1185" s="1" t="str">
        <f>"１０６０　　　　　　　　　　　　　　　　"</f>
        <v>１０６０　　　　　　　　　　　　　　　　</v>
      </c>
      <c r="L1185" s="1"/>
    </row>
    <row r="1186" spans="1:12" ht="18" customHeight="1" x14ac:dyDescent="0.15">
      <c r="A1186" s="11">
        <v>2343</v>
      </c>
      <c r="B1186" s="11" t="s">
        <v>53</v>
      </c>
      <c r="C1186" s="11" t="s">
        <v>156</v>
      </c>
      <c r="D1186" s="11">
        <v>1</v>
      </c>
      <c r="E1186" s="11" t="s">
        <v>4</v>
      </c>
      <c r="F1186" s="12">
        <v>20600</v>
      </c>
      <c r="G1186" s="12">
        <v>20600</v>
      </c>
      <c r="H1186" s="11" t="str">
        <f t="shared" si="40"/>
        <v>平成4年12月5日</v>
      </c>
      <c r="I1186" s="22">
        <f t="shared" si="41"/>
        <v>33943</v>
      </c>
      <c r="J1186" s="1" t="str">
        <f>"00741079"</f>
        <v>00741079</v>
      </c>
      <c r="K1186" s="1" t="str">
        <f>"１０６１　　　　　　　　　　　　　　　　"</f>
        <v>１０６１　　　　　　　　　　　　　　　　</v>
      </c>
      <c r="L1186" s="1"/>
    </row>
    <row r="1187" spans="1:12" ht="18" customHeight="1" x14ac:dyDescent="0.15">
      <c r="A1187" s="11">
        <v>2344</v>
      </c>
      <c r="B1187" s="11" t="s">
        <v>53</v>
      </c>
      <c r="C1187" s="11" t="s">
        <v>156</v>
      </c>
      <c r="D1187" s="11">
        <v>1</v>
      </c>
      <c r="E1187" s="11" t="s">
        <v>4</v>
      </c>
      <c r="F1187" s="12">
        <v>20600</v>
      </c>
      <c r="G1187" s="12">
        <v>20600</v>
      </c>
      <c r="H1187" s="11" t="str">
        <f t="shared" si="40"/>
        <v>平成4年12月5日</v>
      </c>
      <c r="I1187" s="22">
        <f t="shared" si="41"/>
        <v>33943</v>
      </c>
      <c r="J1187" s="1" t="str">
        <f>"00741081"</f>
        <v>00741081</v>
      </c>
      <c r="K1187" s="1" t="str">
        <f>"１０６２　　　　　　　　　　　　　　　　"</f>
        <v>１０６２　　　　　　　　　　　　　　　　</v>
      </c>
      <c r="L1187" s="1"/>
    </row>
    <row r="1188" spans="1:12" ht="18" customHeight="1" x14ac:dyDescent="0.15">
      <c r="A1188" s="11">
        <v>2345</v>
      </c>
      <c r="B1188" s="11" t="s">
        <v>53</v>
      </c>
      <c r="C1188" s="11" t="s">
        <v>156</v>
      </c>
      <c r="D1188" s="11">
        <v>1</v>
      </c>
      <c r="E1188" s="11" t="s">
        <v>4</v>
      </c>
      <c r="F1188" s="12">
        <v>20600</v>
      </c>
      <c r="G1188" s="12">
        <v>20600</v>
      </c>
      <c r="H1188" s="11" t="str">
        <f t="shared" si="40"/>
        <v>平成4年12月5日</v>
      </c>
      <c r="I1188" s="22">
        <f t="shared" si="41"/>
        <v>33943</v>
      </c>
      <c r="J1188" s="1" t="str">
        <f>"00741083"</f>
        <v>00741083</v>
      </c>
      <c r="K1188" s="1" t="str">
        <f>"１０６３　　　　　　　　　　　　　　　　"</f>
        <v>１０６３　　　　　　　　　　　　　　　　</v>
      </c>
      <c r="L1188" s="1"/>
    </row>
    <row r="1189" spans="1:12" ht="18" customHeight="1" x14ac:dyDescent="0.15">
      <c r="A1189" s="11">
        <v>2346</v>
      </c>
      <c r="B1189" s="11" t="s">
        <v>53</v>
      </c>
      <c r="C1189" s="11" t="s">
        <v>156</v>
      </c>
      <c r="D1189" s="11">
        <v>1</v>
      </c>
      <c r="E1189" s="11" t="s">
        <v>4</v>
      </c>
      <c r="F1189" s="12">
        <v>20600</v>
      </c>
      <c r="G1189" s="12">
        <v>20600</v>
      </c>
      <c r="H1189" s="11" t="str">
        <f t="shared" si="40"/>
        <v>平成4年12月5日</v>
      </c>
      <c r="I1189" s="22">
        <f t="shared" si="41"/>
        <v>33943</v>
      </c>
      <c r="J1189" s="1" t="str">
        <f>"00741085"</f>
        <v>00741085</v>
      </c>
      <c r="K1189" s="1" t="str">
        <f>"１０６４　　　　　　　　　　　　　　　　"</f>
        <v>１０６４　　　　　　　　　　　　　　　　</v>
      </c>
      <c r="L1189" s="1"/>
    </row>
    <row r="1190" spans="1:12" ht="18" customHeight="1" x14ac:dyDescent="0.15">
      <c r="A1190" s="11">
        <v>2347</v>
      </c>
      <c r="B1190" s="11" t="s">
        <v>53</v>
      </c>
      <c r="C1190" s="11" t="s">
        <v>156</v>
      </c>
      <c r="D1190" s="11">
        <v>1</v>
      </c>
      <c r="E1190" s="11" t="s">
        <v>4</v>
      </c>
      <c r="F1190" s="12">
        <v>20600</v>
      </c>
      <c r="G1190" s="12">
        <v>20600</v>
      </c>
      <c r="H1190" s="11" t="str">
        <f t="shared" si="40"/>
        <v>平成4年12月5日</v>
      </c>
      <c r="I1190" s="22">
        <f t="shared" si="41"/>
        <v>33943</v>
      </c>
      <c r="J1190" s="1" t="str">
        <f>"00741087"</f>
        <v>00741087</v>
      </c>
      <c r="K1190" s="1" t="str">
        <f>"１０６５　　　　　　　　　　　　　　　　"</f>
        <v>１０６５　　　　　　　　　　　　　　　　</v>
      </c>
      <c r="L1190" s="1"/>
    </row>
    <row r="1191" spans="1:12" ht="18" customHeight="1" x14ac:dyDescent="0.15">
      <c r="A1191" s="11">
        <v>2348</v>
      </c>
      <c r="B1191" s="11" t="s">
        <v>53</v>
      </c>
      <c r="C1191" s="11" t="s">
        <v>156</v>
      </c>
      <c r="D1191" s="11">
        <v>1</v>
      </c>
      <c r="E1191" s="11" t="s">
        <v>4</v>
      </c>
      <c r="F1191" s="12">
        <v>20600</v>
      </c>
      <c r="G1191" s="12">
        <v>20600</v>
      </c>
      <c r="H1191" s="11" t="str">
        <f t="shared" si="40"/>
        <v>平成4年12月5日</v>
      </c>
      <c r="I1191" s="22">
        <f t="shared" si="41"/>
        <v>33943</v>
      </c>
      <c r="J1191" s="1" t="str">
        <f>"00741089"</f>
        <v>00741089</v>
      </c>
      <c r="K1191" s="1" t="str">
        <f>"１０６６　　　　　　　　　　　　　　　　"</f>
        <v>１０６６　　　　　　　　　　　　　　　　</v>
      </c>
      <c r="L1191" s="1"/>
    </row>
    <row r="1192" spans="1:12" ht="18" customHeight="1" x14ac:dyDescent="0.15">
      <c r="A1192" s="11">
        <v>2349</v>
      </c>
      <c r="B1192" s="11" t="s">
        <v>53</v>
      </c>
      <c r="C1192" s="11" t="s">
        <v>156</v>
      </c>
      <c r="D1192" s="11">
        <v>1</v>
      </c>
      <c r="E1192" s="11" t="s">
        <v>4</v>
      </c>
      <c r="F1192" s="12">
        <v>20600</v>
      </c>
      <c r="G1192" s="12">
        <v>20600</v>
      </c>
      <c r="H1192" s="11" t="str">
        <f t="shared" si="40"/>
        <v>平成4年12月5日</v>
      </c>
      <c r="I1192" s="22">
        <f t="shared" si="41"/>
        <v>33943</v>
      </c>
      <c r="J1192" s="1" t="str">
        <f>"00741091"</f>
        <v>00741091</v>
      </c>
      <c r="K1192" s="1" t="str">
        <f>"１０６７　　　　　　　　　　　　　　　　"</f>
        <v>１０６７　　　　　　　　　　　　　　　　</v>
      </c>
      <c r="L1192" s="1"/>
    </row>
    <row r="1193" spans="1:12" ht="18" customHeight="1" x14ac:dyDescent="0.15">
      <c r="A1193" s="11">
        <v>2350</v>
      </c>
      <c r="B1193" s="11" t="s">
        <v>53</v>
      </c>
      <c r="C1193" s="11" t="s">
        <v>156</v>
      </c>
      <c r="D1193" s="11">
        <v>1</v>
      </c>
      <c r="E1193" s="11" t="s">
        <v>4</v>
      </c>
      <c r="F1193" s="12">
        <v>20600</v>
      </c>
      <c r="G1193" s="12">
        <v>20600</v>
      </c>
      <c r="H1193" s="11" t="str">
        <f t="shared" si="40"/>
        <v>平成4年12月5日</v>
      </c>
      <c r="I1193" s="22">
        <f t="shared" si="41"/>
        <v>33943</v>
      </c>
      <c r="J1193" s="1" t="str">
        <f>"00741093"</f>
        <v>00741093</v>
      </c>
      <c r="K1193" s="1" t="str">
        <f>"１０６８　　　　　　　　　　　　　　　　"</f>
        <v>１０６８　　　　　　　　　　　　　　　　</v>
      </c>
      <c r="L1193" s="1"/>
    </row>
    <row r="1194" spans="1:12" ht="18" customHeight="1" x14ac:dyDescent="0.15">
      <c r="A1194" s="11">
        <v>2351</v>
      </c>
      <c r="B1194" s="11" t="s">
        <v>53</v>
      </c>
      <c r="C1194" s="11" t="s">
        <v>156</v>
      </c>
      <c r="D1194" s="11">
        <v>1</v>
      </c>
      <c r="E1194" s="11" t="s">
        <v>4</v>
      </c>
      <c r="F1194" s="12">
        <v>20600</v>
      </c>
      <c r="G1194" s="12">
        <v>20600</v>
      </c>
      <c r="H1194" s="11" t="str">
        <f t="shared" si="40"/>
        <v>平成4年12月5日</v>
      </c>
      <c r="I1194" s="22">
        <f t="shared" si="41"/>
        <v>33943</v>
      </c>
      <c r="J1194" s="1" t="str">
        <f>"00741095"</f>
        <v>00741095</v>
      </c>
      <c r="K1194" s="1" t="str">
        <f>"１０６９　　　　　　　　　　　　　　　　"</f>
        <v>１０６９　　　　　　　　　　　　　　　　</v>
      </c>
      <c r="L1194" s="1"/>
    </row>
    <row r="1195" spans="1:12" ht="18" customHeight="1" x14ac:dyDescent="0.15">
      <c r="A1195" s="11">
        <v>2352</v>
      </c>
      <c r="B1195" s="11" t="s">
        <v>53</v>
      </c>
      <c r="C1195" s="11" t="s">
        <v>156</v>
      </c>
      <c r="D1195" s="11">
        <v>1</v>
      </c>
      <c r="E1195" s="11" t="s">
        <v>4</v>
      </c>
      <c r="F1195" s="12">
        <v>20600</v>
      </c>
      <c r="G1195" s="12">
        <v>20600</v>
      </c>
      <c r="H1195" s="11" t="str">
        <f t="shared" si="40"/>
        <v>平成4年12月5日</v>
      </c>
      <c r="I1195" s="22">
        <f t="shared" si="41"/>
        <v>33943</v>
      </c>
      <c r="J1195" s="1" t="str">
        <f>"00741097"</f>
        <v>00741097</v>
      </c>
      <c r="K1195" s="1" t="str">
        <f>"１０７０　　　　　　　　　　　　　　　　"</f>
        <v>１０７０　　　　　　　　　　　　　　　　</v>
      </c>
      <c r="L1195" s="1"/>
    </row>
    <row r="1196" spans="1:12" ht="18" customHeight="1" x14ac:dyDescent="0.15">
      <c r="A1196" s="11">
        <v>2353</v>
      </c>
      <c r="B1196" s="11" t="s">
        <v>53</v>
      </c>
      <c r="C1196" s="11" t="s">
        <v>156</v>
      </c>
      <c r="D1196" s="11">
        <v>1</v>
      </c>
      <c r="E1196" s="11" t="s">
        <v>4</v>
      </c>
      <c r="F1196" s="12">
        <v>20600</v>
      </c>
      <c r="G1196" s="12">
        <v>20600</v>
      </c>
      <c r="H1196" s="11" t="str">
        <f t="shared" si="40"/>
        <v>平成4年12月5日</v>
      </c>
      <c r="I1196" s="22">
        <f t="shared" si="41"/>
        <v>33943</v>
      </c>
      <c r="J1196" s="1" t="str">
        <f>"00741099"</f>
        <v>00741099</v>
      </c>
      <c r="K1196" s="1" t="str">
        <f>"１０７１　　　　　　　　　　　　　　　　"</f>
        <v>１０７１　　　　　　　　　　　　　　　　</v>
      </c>
      <c r="L1196" s="1"/>
    </row>
    <row r="1197" spans="1:12" ht="18" customHeight="1" x14ac:dyDescent="0.15">
      <c r="A1197" s="11">
        <v>2354</v>
      </c>
      <c r="B1197" s="11" t="s">
        <v>53</v>
      </c>
      <c r="C1197" s="11" t="s">
        <v>156</v>
      </c>
      <c r="D1197" s="11">
        <v>1</v>
      </c>
      <c r="E1197" s="11" t="s">
        <v>4</v>
      </c>
      <c r="F1197" s="12">
        <v>20600</v>
      </c>
      <c r="G1197" s="12">
        <v>20600</v>
      </c>
      <c r="H1197" s="11" t="str">
        <f t="shared" si="40"/>
        <v>平成4年12月5日</v>
      </c>
      <c r="I1197" s="22">
        <f t="shared" si="41"/>
        <v>33943</v>
      </c>
      <c r="J1197" s="1" t="str">
        <f>"00741101"</f>
        <v>00741101</v>
      </c>
      <c r="K1197" s="1" t="str">
        <f>"１０７２　　　　　　　　　　　　　　　　"</f>
        <v>１０７２　　　　　　　　　　　　　　　　</v>
      </c>
      <c r="L1197" s="1"/>
    </row>
    <row r="1198" spans="1:12" ht="18" customHeight="1" x14ac:dyDescent="0.15">
      <c r="A1198" s="11">
        <v>2355</v>
      </c>
      <c r="B1198" s="11" t="s">
        <v>53</v>
      </c>
      <c r="C1198" s="11" t="s">
        <v>156</v>
      </c>
      <c r="D1198" s="11">
        <v>1</v>
      </c>
      <c r="E1198" s="11" t="s">
        <v>4</v>
      </c>
      <c r="F1198" s="12">
        <v>20600</v>
      </c>
      <c r="G1198" s="12">
        <v>20600</v>
      </c>
      <c r="H1198" s="11" t="str">
        <f t="shared" ref="H1198:H1261" si="42">"平成4年12月5日"</f>
        <v>平成4年12月5日</v>
      </c>
      <c r="I1198" s="22">
        <f t="shared" si="41"/>
        <v>33943</v>
      </c>
      <c r="J1198" s="1" t="str">
        <f>"00741103"</f>
        <v>00741103</v>
      </c>
      <c r="K1198" s="1" t="str">
        <f>"１０７３　　　　　　　　　　　　　　　　"</f>
        <v>１０７３　　　　　　　　　　　　　　　　</v>
      </c>
      <c r="L1198" s="1"/>
    </row>
    <row r="1199" spans="1:12" ht="18" customHeight="1" x14ac:dyDescent="0.15">
      <c r="A1199" s="11">
        <v>2356</v>
      </c>
      <c r="B1199" s="11" t="s">
        <v>53</v>
      </c>
      <c r="C1199" s="11" t="s">
        <v>156</v>
      </c>
      <c r="D1199" s="11">
        <v>1</v>
      </c>
      <c r="E1199" s="11" t="s">
        <v>4</v>
      </c>
      <c r="F1199" s="12">
        <v>20600</v>
      </c>
      <c r="G1199" s="12">
        <v>20600</v>
      </c>
      <c r="H1199" s="11" t="str">
        <f t="shared" si="42"/>
        <v>平成4年12月5日</v>
      </c>
      <c r="I1199" s="22">
        <f t="shared" si="41"/>
        <v>33943</v>
      </c>
      <c r="J1199" s="1" t="str">
        <f>"00741105"</f>
        <v>00741105</v>
      </c>
      <c r="K1199" s="1" t="str">
        <f>"１０７４　　　　　　　　　　　　　　　　"</f>
        <v>１０７４　　　　　　　　　　　　　　　　</v>
      </c>
      <c r="L1199" s="1"/>
    </row>
    <row r="1200" spans="1:12" ht="18" customHeight="1" x14ac:dyDescent="0.15">
      <c r="A1200" s="11">
        <v>2357</v>
      </c>
      <c r="B1200" s="11" t="s">
        <v>53</v>
      </c>
      <c r="C1200" s="11" t="s">
        <v>156</v>
      </c>
      <c r="D1200" s="11">
        <v>1</v>
      </c>
      <c r="E1200" s="11" t="s">
        <v>4</v>
      </c>
      <c r="F1200" s="12">
        <v>20600</v>
      </c>
      <c r="G1200" s="12">
        <v>20600</v>
      </c>
      <c r="H1200" s="11" t="str">
        <f t="shared" si="42"/>
        <v>平成4年12月5日</v>
      </c>
      <c r="I1200" s="22">
        <f t="shared" si="41"/>
        <v>33943</v>
      </c>
      <c r="J1200" s="1" t="str">
        <f>"00741107"</f>
        <v>00741107</v>
      </c>
      <c r="K1200" s="1" t="str">
        <f>"１０７５　　　　　　　　　　　　　　　　"</f>
        <v>１０７５　　　　　　　　　　　　　　　　</v>
      </c>
      <c r="L1200" s="1"/>
    </row>
    <row r="1201" spans="1:12" ht="18" customHeight="1" x14ac:dyDescent="0.15">
      <c r="A1201" s="11">
        <v>2358</v>
      </c>
      <c r="B1201" s="11" t="s">
        <v>53</v>
      </c>
      <c r="C1201" s="11" t="s">
        <v>156</v>
      </c>
      <c r="D1201" s="11">
        <v>1</v>
      </c>
      <c r="E1201" s="11" t="s">
        <v>4</v>
      </c>
      <c r="F1201" s="12">
        <v>20600</v>
      </c>
      <c r="G1201" s="12">
        <v>20600</v>
      </c>
      <c r="H1201" s="11" t="str">
        <f t="shared" si="42"/>
        <v>平成4年12月5日</v>
      </c>
      <c r="I1201" s="22">
        <f t="shared" si="41"/>
        <v>33943</v>
      </c>
      <c r="J1201" s="1" t="str">
        <f>"00741109"</f>
        <v>00741109</v>
      </c>
      <c r="K1201" s="1" t="str">
        <f>"１０７６　　　　　　　　　　　　　　　　"</f>
        <v>１０７６　　　　　　　　　　　　　　　　</v>
      </c>
      <c r="L1201" s="1"/>
    </row>
    <row r="1202" spans="1:12" ht="18" customHeight="1" x14ac:dyDescent="0.15">
      <c r="A1202" s="11">
        <v>2359</v>
      </c>
      <c r="B1202" s="11" t="s">
        <v>53</v>
      </c>
      <c r="C1202" s="11" t="s">
        <v>156</v>
      </c>
      <c r="D1202" s="11">
        <v>1</v>
      </c>
      <c r="E1202" s="11" t="s">
        <v>4</v>
      </c>
      <c r="F1202" s="12">
        <v>20600</v>
      </c>
      <c r="G1202" s="12">
        <v>20600</v>
      </c>
      <c r="H1202" s="11" t="str">
        <f t="shared" si="42"/>
        <v>平成4年12月5日</v>
      </c>
      <c r="I1202" s="22">
        <f t="shared" si="41"/>
        <v>33943</v>
      </c>
      <c r="J1202" s="1" t="str">
        <f>"00741111"</f>
        <v>00741111</v>
      </c>
      <c r="K1202" s="1" t="str">
        <f>"１０７７　　　　　　　　　　　　　　　　"</f>
        <v>１０７７　　　　　　　　　　　　　　　　</v>
      </c>
      <c r="L1202" s="1"/>
    </row>
    <row r="1203" spans="1:12" ht="18" customHeight="1" x14ac:dyDescent="0.15">
      <c r="A1203" s="11">
        <v>2360</v>
      </c>
      <c r="B1203" s="11" t="s">
        <v>53</v>
      </c>
      <c r="C1203" s="11" t="s">
        <v>156</v>
      </c>
      <c r="D1203" s="11">
        <v>1</v>
      </c>
      <c r="E1203" s="11" t="s">
        <v>4</v>
      </c>
      <c r="F1203" s="12">
        <v>20600</v>
      </c>
      <c r="G1203" s="12">
        <v>20600</v>
      </c>
      <c r="H1203" s="11" t="str">
        <f t="shared" si="42"/>
        <v>平成4年12月5日</v>
      </c>
      <c r="I1203" s="22">
        <f t="shared" si="41"/>
        <v>33943</v>
      </c>
      <c r="J1203" s="1" t="str">
        <f>"00741113"</f>
        <v>00741113</v>
      </c>
      <c r="K1203" s="1" t="str">
        <f>"１０７８　　　　　　　　　　　　　　　　"</f>
        <v>１０７８　　　　　　　　　　　　　　　　</v>
      </c>
      <c r="L1203" s="1"/>
    </row>
    <row r="1204" spans="1:12" ht="18" customHeight="1" x14ac:dyDescent="0.15">
      <c r="A1204" s="11">
        <v>2361</v>
      </c>
      <c r="B1204" s="11" t="s">
        <v>53</v>
      </c>
      <c r="C1204" s="11" t="s">
        <v>156</v>
      </c>
      <c r="D1204" s="11">
        <v>1</v>
      </c>
      <c r="E1204" s="11" t="s">
        <v>4</v>
      </c>
      <c r="F1204" s="12">
        <v>20600</v>
      </c>
      <c r="G1204" s="12">
        <v>20600</v>
      </c>
      <c r="H1204" s="11" t="str">
        <f t="shared" si="42"/>
        <v>平成4年12月5日</v>
      </c>
      <c r="I1204" s="22">
        <f t="shared" si="41"/>
        <v>33943</v>
      </c>
      <c r="J1204" s="1" t="str">
        <f>"00741115"</f>
        <v>00741115</v>
      </c>
      <c r="K1204" s="1" t="str">
        <f>"１０７９　　　　　　　　　　　　　　　　"</f>
        <v>１０７９　　　　　　　　　　　　　　　　</v>
      </c>
      <c r="L1204" s="1"/>
    </row>
    <row r="1205" spans="1:12" ht="18" customHeight="1" x14ac:dyDescent="0.15">
      <c r="A1205" s="11">
        <v>2362</v>
      </c>
      <c r="B1205" s="11" t="s">
        <v>53</v>
      </c>
      <c r="C1205" s="11" t="s">
        <v>156</v>
      </c>
      <c r="D1205" s="11">
        <v>1</v>
      </c>
      <c r="E1205" s="11" t="s">
        <v>4</v>
      </c>
      <c r="F1205" s="12">
        <v>20600</v>
      </c>
      <c r="G1205" s="12">
        <v>20600</v>
      </c>
      <c r="H1205" s="11" t="str">
        <f t="shared" si="42"/>
        <v>平成4年12月5日</v>
      </c>
      <c r="I1205" s="22">
        <f t="shared" si="41"/>
        <v>33943</v>
      </c>
      <c r="J1205" s="1" t="str">
        <f>"00741117"</f>
        <v>00741117</v>
      </c>
      <c r="K1205" s="1" t="str">
        <f>"１０８０　　　　　　　　　　　　　　　　"</f>
        <v>１０８０　　　　　　　　　　　　　　　　</v>
      </c>
      <c r="L1205" s="1"/>
    </row>
    <row r="1206" spans="1:12" ht="18" customHeight="1" x14ac:dyDescent="0.15">
      <c r="A1206" s="11">
        <v>2363</v>
      </c>
      <c r="B1206" s="11" t="s">
        <v>53</v>
      </c>
      <c r="C1206" s="11" t="s">
        <v>156</v>
      </c>
      <c r="D1206" s="11">
        <v>1</v>
      </c>
      <c r="E1206" s="11" t="s">
        <v>4</v>
      </c>
      <c r="F1206" s="12">
        <v>20600</v>
      </c>
      <c r="G1206" s="12">
        <v>20600</v>
      </c>
      <c r="H1206" s="11" t="str">
        <f t="shared" si="42"/>
        <v>平成4年12月5日</v>
      </c>
      <c r="I1206" s="22">
        <f t="shared" si="41"/>
        <v>33943</v>
      </c>
      <c r="J1206" s="1" t="str">
        <f>"00741118"</f>
        <v>00741118</v>
      </c>
      <c r="K1206" s="1" t="str">
        <f>"１０８１　　　　　　　　　　　　　　　　"</f>
        <v>１０８１　　　　　　　　　　　　　　　　</v>
      </c>
      <c r="L1206" s="1"/>
    </row>
    <row r="1207" spans="1:12" ht="18" customHeight="1" x14ac:dyDescent="0.15">
      <c r="A1207" s="11">
        <v>2364</v>
      </c>
      <c r="B1207" s="11" t="s">
        <v>53</v>
      </c>
      <c r="C1207" s="11" t="s">
        <v>156</v>
      </c>
      <c r="D1207" s="11">
        <v>1</v>
      </c>
      <c r="E1207" s="11" t="s">
        <v>4</v>
      </c>
      <c r="F1207" s="12">
        <v>20600</v>
      </c>
      <c r="G1207" s="12">
        <v>20600</v>
      </c>
      <c r="H1207" s="11" t="str">
        <f t="shared" si="42"/>
        <v>平成4年12月5日</v>
      </c>
      <c r="I1207" s="22">
        <f t="shared" si="41"/>
        <v>33943</v>
      </c>
      <c r="J1207" s="1" t="str">
        <f>"00741120"</f>
        <v>00741120</v>
      </c>
      <c r="K1207" s="1" t="str">
        <f>"１０８２　　　　　　　　　　　　　　　　"</f>
        <v>１０８２　　　　　　　　　　　　　　　　</v>
      </c>
      <c r="L1207" s="1"/>
    </row>
    <row r="1208" spans="1:12" ht="18" customHeight="1" x14ac:dyDescent="0.15">
      <c r="A1208" s="11">
        <v>2365</v>
      </c>
      <c r="B1208" s="11" t="s">
        <v>53</v>
      </c>
      <c r="C1208" s="11" t="s">
        <v>156</v>
      </c>
      <c r="D1208" s="11">
        <v>1</v>
      </c>
      <c r="E1208" s="11" t="s">
        <v>4</v>
      </c>
      <c r="F1208" s="12">
        <v>20600</v>
      </c>
      <c r="G1208" s="12">
        <v>20600</v>
      </c>
      <c r="H1208" s="11" t="str">
        <f t="shared" si="42"/>
        <v>平成4年12月5日</v>
      </c>
      <c r="I1208" s="22">
        <f t="shared" si="41"/>
        <v>33943</v>
      </c>
      <c r="J1208" s="1" t="str">
        <f>"00741122"</f>
        <v>00741122</v>
      </c>
      <c r="K1208" s="1" t="str">
        <f>"１０８３　　　　　　　　　　　　　　　　"</f>
        <v>１０８３　　　　　　　　　　　　　　　　</v>
      </c>
      <c r="L1208" s="1"/>
    </row>
    <row r="1209" spans="1:12" ht="18" customHeight="1" x14ac:dyDescent="0.15">
      <c r="A1209" s="11">
        <v>2366</v>
      </c>
      <c r="B1209" s="11" t="s">
        <v>53</v>
      </c>
      <c r="C1209" s="11" t="s">
        <v>156</v>
      </c>
      <c r="D1209" s="11">
        <v>1</v>
      </c>
      <c r="E1209" s="11" t="s">
        <v>4</v>
      </c>
      <c r="F1209" s="12">
        <v>20600</v>
      </c>
      <c r="G1209" s="12">
        <v>20600</v>
      </c>
      <c r="H1209" s="11" t="str">
        <f t="shared" si="42"/>
        <v>平成4年12月5日</v>
      </c>
      <c r="I1209" s="22">
        <f t="shared" si="41"/>
        <v>33943</v>
      </c>
      <c r="J1209" s="1" t="str">
        <f>"00741124"</f>
        <v>00741124</v>
      </c>
      <c r="K1209" s="1" t="str">
        <f>"１０８４　　　　　　　　　　　　　　　　"</f>
        <v>１０８４　　　　　　　　　　　　　　　　</v>
      </c>
      <c r="L1209" s="1"/>
    </row>
    <row r="1210" spans="1:12" ht="18" customHeight="1" x14ac:dyDescent="0.15">
      <c r="A1210" s="11">
        <v>2367</v>
      </c>
      <c r="B1210" s="11" t="s">
        <v>53</v>
      </c>
      <c r="C1210" s="11" t="s">
        <v>156</v>
      </c>
      <c r="D1210" s="11">
        <v>1</v>
      </c>
      <c r="E1210" s="11" t="s">
        <v>4</v>
      </c>
      <c r="F1210" s="12">
        <v>20600</v>
      </c>
      <c r="G1210" s="12">
        <v>20600</v>
      </c>
      <c r="H1210" s="11" t="str">
        <f t="shared" si="42"/>
        <v>平成4年12月5日</v>
      </c>
      <c r="I1210" s="22">
        <f t="shared" si="41"/>
        <v>33943</v>
      </c>
      <c r="J1210" s="1" t="str">
        <f>"00741126"</f>
        <v>00741126</v>
      </c>
      <c r="K1210" s="1" t="str">
        <f>"１０８５　　　　　　　　　　　　　　　　"</f>
        <v>１０８５　　　　　　　　　　　　　　　　</v>
      </c>
      <c r="L1210" s="1"/>
    </row>
    <row r="1211" spans="1:12" ht="18" customHeight="1" x14ac:dyDescent="0.15">
      <c r="A1211" s="11">
        <v>2368</v>
      </c>
      <c r="B1211" s="11" t="s">
        <v>53</v>
      </c>
      <c r="C1211" s="11" t="s">
        <v>156</v>
      </c>
      <c r="D1211" s="11">
        <v>1</v>
      </c>
      <c r="E1211" s="11" t="s">
        <v>4</v>
      </c>
      <c r="F1211" s="12">
        <v>20600</v>
      </c>
      <c r="G1211" s="12">
        <v>20600</v>
      </c>
      <c r="H1211" s="11" t="str">
        <f t="shared" si="42"/>
        <v>平成4年12月5日</v>
      </c>
      <c r="I1211" s="22">
        <f t="shared" si="41"/>
        <v>33943</v>
      </c>
      <c r="J1211" s="1" t="str">
        <f>"00741128"</f>
        <v>00741128</v>
      </c>
      <c r="K1211" s="1" t="str">
        <f>"１０８６　　　　　　　　　　　　　　　　"</f>
        <v>１０８６　　　　　　　　　　　　　　　　</v>
      </c>
      <c r="L1211" s="1"/>
    </row>
    <row r="1212" spans="1:12" ht="18" customHeight="1" x14ac:dyDescent="0.15">
      <c r="A1212" s="11">
        <v>2369</v>
      </c>
      <c r="B1212" s="11" t="s">
        <v>53</v>
      </c>
      <c r="C1212" s="11" t="s">
        <v>156</v>
      </c>
      <c r="D1212" s="11">
        <v>1</v>
      </c>
      <c r="E1212" s="11" t="s">
        <v>4</v>
      </c>
      <c r="F1212" s="12">
        <v>20600</v>
      </c>
      <c r="G1212" s="12">
        <v>20600</v>
      </c>
      <c r="H1212" s="11" t="str">
        <f t="shared" si="42"/>
        <v>平成4年12月5日</v>
      </c>
      <c r="I1212" s="22">
        <f t="shared" si="41"/>
        <v>33943</v>
      </c>
      <c r="J1212" s="1" t="str">
        <f>"00741130"</f>
        <v>00741130</v>
      </c>
      <c r="K1212" s="1" t="str">
        <f>"１０８７　　　　　　　　　　　　　　　　"</f>
        <v>１０８７　　　　　　　　　　　　　　　　</v>
      </c>
      <c r="L1212" s="1"/>
    </row>
    <row r="1213" spans="1:12" ht="18" customHeight="1" x14ac:dyDescent="0.15">
      <c r="A1213" s="11">
        <v>2370</v>
      </c>
      <c r="B1213" s="11" t="s">
        <v>53</v>
      </c>
      <c r="C1213" s="11" t="s">
        <v>156</v>
      </c>
      <c r="D1213" s="11">
        <v>1</v>
      </c>
      <c r="E1213" s="11" t="s">
        <v>4</v>
      </c>
      <c r="F1213" s="12">
        <v>20600</v>
      </c>
      <c r="G1213" s="12">
        <v>20600</v>
      </c>
      <c r="H1213" s="11" t="str">
        <f t="shared" si="42"/>
        <v>平成4年12月5日</v>
      </c>
      <c r="I1213" s="22">
        <f t="shared" si="41"/>
        <v>33943</v>
      </c>
      <c r="J1213" s="1" t="str">
        <f>"00741132"</f>
        <v>00741132</v>
      </c>
      <c r="K1213" s="1" t="str">
        <f>"１０８８　　　　　　　　　　　　　　　　"</f>
        <v>１０８８　　　　　　　　　　　　　　　　</v>
      </c>
      <c r="L1213" s="1"/>
    </row>
    <row r="1214" spans="1:12" ht="18" customHeight="1" x14ac:dyDescent="0.15">
      <c r="A1214" s="11">
        <v>2371</v>
      </c>
      <c r="B1214" s="11" t="s">
        <v>53</v>
      </c>
      <c r="C1214" s="11" t="s">
        <v>156</v>
      </c>
      <c r="D1214" s="11">
        <v>1</v>
      </c>
      <c r="E1214" s="11" t="s">
        <v>4</v>
      </c>
      <c r="F1214" s="12">
        <v>20600</v>
      </c>
      <c r="G1214" s="12">
        <v>20600</v>
      </c>
      <c r="H1214" s="11" t="str">
        <f t="shared" si="42"/>
        <v>平成4年12月5日</v>
      </c>
      <c r="I1214" s="22">
        <f t="shared" si="41"/>
        <v>33943</v>
      </c>
      <c r="J1214" s="1" t="str">
        <f>"00741135"</f>
        <v>00741135</v>
      </c>
      <c r="K1214" s="1" t="str">
        <f>"１０８９　　　　　　　　　　　　　　　　"</f>
        <v>１０８９　　　　　　　　　　　　　　　　</v>
      </c>
      <c r="L1214" s="1"/>
    </row>
    <row r="1215" spans="1:12" ht="18" customHeight="1" x14ac:dyDescent="0.15">
      <c r="A1215" s="11">
        <v>2372</v>
      </c>
      <c r="B1215" s="11" t="s">
        <v>53</v>
      </c>
      <c r="C1215" s="11" t="s">
        <v>156</v>
      </c>
      <c r="D1215" s="11">
        <v>1</v>
      </c>
      <c r="E1215" s="11" t="s">
        <v>4</v>
      </c>
      <c r="F1215" s="12">
        <v>20600</v>
      </c>
      <c r="G1215" s="12">
        <v>20600</v>
      </c>
      <c r="H1215" s="11" t="str">
        <f t="shared" si="42"/>
        <v>平成4年12月5日</v>
      </c>
      <c r="I1215" s="22">
        <f t="shared" si="41"/>
        <v>33943</v>
      </c>
      <c r="J1215" s="1" t="str">
        <f>"00741137"</f>
        <v>00741137</v>
      </c>
      <c r="K1215" s="1" t="str">
        <f>"１０９０　　　　　　　　　　　　　　　　"</f>
        <v>１０９０　　　　　　　　　　　　　　　　</v>
      </c>
      <c r="L1215" s="1"/>
    </row>
    <row r="1216" spans="1:12" ht="18" customHeight="1" x14ac:dyDescent="0.15">
      <c r="A1216" s="11">
        <v>2373</v>
      </c>
      <c r="B1216" s="11" t="s">
        <v>53</v>
      </c>
      <c r="C1216" s="11" t="s">
        <v>156</v>
      </c>
      <c r="D1216" s="11">
        <v>1</v>
      </c>
      <c r="E1216" s="11" t="s">
        <v>4</v>
      </c>
      <c r="F1216" s="12">
        <v>20600</v>
      </c>
      <c r="G1216" s="12">
        <v>20600</v>
      </c>
      <c r="H1216" s="11" t="str">
        <f t="shared" si="42"/>
        <v>平成4年12月5日</v>
      </c>
      <c r="I1216" s="22">
        <f t="shared" si="41"/>
        <v>33943</v>
      </c>
      <c r="J1216" s="1" t="str">
        <f>"00741139"</f>
        <v>00741139</v>
      </c>
      <c r="K1216" s="1" t="str">
        <f>"１０９１　　　　　　　　　　　　　　　　"</f>
        <v>１０９１　　　　　　　　　　　　　　　　</v>
      </c>
      <c r="L1216" s="1"/>
    </row>
    <row r="1217" spans="1:12" ht="18" customHeight="1" x14ac:dyDescent="0.15">
      <c r="A1217" s="11">
        <v>2374</v>
      </c>
      <c r="B1217" s="11" t="s">
        <v>53</v>
      </c>
      <c r="C1217" s="11" t="s">
        <v>156</v>
      </c>
      <c r="D1217" s="11">
        <v>1</v>
      </c>
      <c r="E1217" s="11" t="s">
        <v>4</v>
      </c>
      <c r="F1217" s="12">
        <v>20600</v>
      </c>
      <c r="G1217" s="12">
        <v>20600</v>
      </c>
      <c r="H1217" s="11" t="str">
        <f t="shared" si="42"/>
        <v>平成4年12月5日</v>
      </c>
      <c r="I1217" s="22">
        <f t="shared" si="41"/>
        <v>33943</v>
      </c>
      <c r="J1217" s="1" t="str">
        <f>"00741141"</f>
        <v>00741141</v>
      </c>
      <c r="K1217" s="1" t="str">
        <f>"１０９２　　　　　　　　　　　　　　　　"</f>
        <v>１０９２　　　　　　　　　　　　　　　　</v>
      </c>
      <c r="L1217" s="1"/>
    </row>
    <row r="1218" spans="1:12" ht="18" customHeight="1" x14ac:dyDescent="0.15">
      <c r="A1218" s="11">
        <v>2375</v>
      </c>
      <c r="B1218" s="11" t="s">
        <v>53</v>
      </c>
      <c r="C1218" s="11" t="s">
        <v>156</v>
      </c>
      <c r="D1218" s="11">
        <v>1</v>
      </c>
      <c r="E1218" s="11" t="s">
        <v>4</v>
      </c>
      <c r="F1218" s="12">
        <v>20600</v>
      </c>
      <c r="G1218" s="12">
        <v>20600</v>
      </c>
      <c r="H1218" s="11" t="str">
        <f t="shared" si="42"/>
        <v>平成4年12月5日</v>
      </c>
      <c r="I1218" s="22">
        <f t="shared" si="41"/>
        <v>33943</v>
      </c>
      <c r="J1218" s="1" t="str">
        <f>"00741143"</f>
        <v>00741143</v>
      </c>
      <c r="K1218" s="1" t="str">
        <f>"１０９３　　　　　　　　　　　　　　　　"</f>
        <v>１０９３　　　　　　　　　　　　　　　　</v>
      </c>
      <c r="L1218" s="1"/>
    </row>
    <row r="1219" spans="1:12" ht="18" customHeight="1" x14ac:dyDescent="0.15">
      <c r="A1219" s="11">
        <v>2376</v>
      </c>
      <c r="B1219" s="11" t="s">
        <v>53</v>
      </c>
      <c r="C1219" s="11" t="s">
        <v>156</v>
      </c>
      <c r="D1219" s="11">
        <v>1</v>
      </c>
      <c r="E1219" s="11" t="s">
        <v>4</v>
      </c>
      <c r="F1219" s="12">
        <v>20600</v>
      </c>
      <c r="G1219" s="12">
        <v>20600</v>
      </c>
      <c r="H1219" s="11" t="str">
        <f t="shared" si="42"/>
        <v>平成4年12月5日</v>
      </c>
      <c r="I1219" s="22">
        <f t="shared" si="41"/>
        <v>33943</v>
      </c>
      <c r="J1219" s="1" t="str">
        <f>"00741145"</f>
        <v>00741145</v>
      </c>
      <c r="K1219" s="1" t="str">
        <f>"１０９４　　　　　　　　　　　　　　　　"</f>
        <v>１０９４　　　　　　　　　　　　　　　　</v>
      </c>
      <c r="L1219" s="1"/>
    </row>
    <row r="1220" spans="1:12" ht="18" customHeight="1" x14ac:dyDescent="0.15">
      <c r="A1220" s="11">
        <v>2377</v>
      </c>
      <c r="B1220" s="11" t="s">
        <v>53</v>
      </c>
      <c r="C1220" s="11" t="s">
        <v>156</v>
      </c>
      <c r="D1220" s="11">
        <v>1</v>
      </c>
      <c r="E1220" s="11" t="s">
        <v>4</v>
      </c>
      <c r="F1220" s="12">
        <v>20600</v>
      </c>
      <c r="G1220" s="12">
        <v>20600</v>
      </c>
      <c r="H1220" s="11" t="str">
        <f t="shared" si="42"/>
        <v>平成4年12月5日</v>
      </c>
      <c r="I1220" s="22">
        <f t="shared" si="41"/>
        <v>33943</v>
      </c>
      <c r="J1220" s="1" t="str">
        <f>"00741147"</f>
        <v>00741147</v>
      </c>
      <c r="K1220" s="1" t="str">
        <f>"１０９５　　　　　　　　　　　　　　　　"</f>
        <v>１０９５　　　　　　　　　　　　　　　　</v>
      </c>
      <c r="L1220" s="1"/>
    </row>
    <row r="1221" spans="1:12" ht="18" customHeight="1" x14ac:dyDescent="0.15">
      <c r="A1221" s="11">
        <v>2378</v>
      </c>
      <c r="B1221" s="11" t="s">
        <v>53</v>
      </c>
      <c r="C1221" s="11" t="s">
        <v>156</v>
      </c>
      <c r="D1221" s="11">
        <v>1</v>
      </c>
      <c r="E1221" s="11" t="s">
        <v>4</v>
      </c>
      <c r="F1221" s="12">
        <v>20600</v>
      </c>
      <c r="G1221" s="12">
        <v>20600</v>
      </c>
      <c r="H1221" s="11" t="str">
        <f t="shared" si="42"/>
        <v>平成4年12月5日</v>
      </c>
      <c r="I1221" s="22">
        <f t="shared" si="41"/>
        <v>33943</v>
      </c>
      <c r="J1221" s="1" t="str">
        <f>"00741149"</f>
        <v>00741149</v>
      </c>
      <c r="K1221" s="1" t="str">
        <f>"１０９６　　　　　　　　　　　　　　　　"</f>
        <v>１０９６　　　　　　　　　　　　　　　　</v>
      </c>
      <c r="L1221" s="1"/>
    </row>
    <row r="1222" spans="1:12" ht="18" customHeight="1" x14ac:dyDescent="0.15">
      <c r="A1222" s="11">
        <v>2379</v>
      </c>
      <c r="B1222" s="11" t="s">
        <v>53</v>
      </c>
      <c r="C1222" s="11" t="s">
        <v>156</v>
      </c>
      <c r="D1222" s="11">
        <v>1</v>
      </c>
      <c r="E1222" s="11" t="s">
        <v>4</v>
      </c>
      <c r="F1222" s="12">
        <v>20600</v>
      </c>
      <c r="G1222" s="12">
        <v>20600</v>
      </c>
      <c r="H1222" s="11" t="str">
        <f t="shared" si="42"/>
        <v>平成4年12月5日</v>
      </c>
      <c r="I1222" s="22">
        <f t="shared" si="41"/>
        <v>33943</v>
      </c>
      <c r="J1222" s="1" t="str">
        <f>"00741151"</f>
        <v>00741151</v>
      </c>
      <c r="K1222" s="1" t="str">
        <f>"１０９７　　　　　　　　　　　　　　　　"</f>
        <v>１０９７　　　　　　　　　　　　　　　　</v>
      </c>
      <c r="L1222" s="1"/>
    </row>
    <row r="1223" spans="1:12" ht="18" customHeight="1" x14ac:dyDescent="0.15">
      <c r="A1223" s="11">
        <v>2380</v>
      </c>
      <c r="B1223" s="11" t="s">
        <v>53</v>
      </c>
      <c r="C1223" s="11" t="s">
        <v>156</v>
      </c>
      <c r="D1223" s="11">
        <v>1</v>
      </c>
      <c r="E1223" s="11" t="s">
        <v>4</v>
      </c>
      <c r="F1223" s="12">
        <v>20600</v>
      </c>
      <c r="G1223" s="12">
        <v>20600</v>
      </c>
      <c r="H1223" s="11" t="str">
        <f t="shared" si="42"/>
        <v>平成4年12月5日</v>
      </c>
      <c r="I1223" s="22">
        <f t="shared" si="41"/>
        <v>33943</v>
      </c>
      <c r="J1223" s="1" t="str">
        <f>"00741153"</f>
        <v>00741153</v>
      </c>
      <c r="K1223" s="1" t="str">
        <f>"１０９８　　　　　　　　　　　　　　　　"</f>
        <v>１０９８　　　　　　　　　　　　　　　　</v>
      </c>
      <c r="L1223" s="1"/>
    </row>
    <row r="1224" spans="1:12" ht="18" customHeight="1" x14ac:dyDescent="0.15">
      <c r="A1224" s="11">
        <v>2381</v>
      </c>
      <c r="B1224" s="11" t="s">
        <v>53</v>
      </c>
      <c r="C1224" s="11" t="s">
        <v>156</v>
      </c>
      <c r="D1224" s="11">
        <v>1</v>
      </c>
      <c r="E1224" s="11" t="s">
        <v>4</v>
      </c>
      <c r="F1224" s="12">
        <v>20600</v>
      </c>
      <c r="G1224" s="12">
        <v>20600</v>
      </c>
      <c r="H1224" s="11" t="str">
        <f t="shared" si="42"/>
        <v>平成4年12月5日</v>
      </c>
      <c r="I1224" s="22">
        <f t="shared" si="41"/>
        <v>33943</v>
      </c>
      <c r="J1224" s="1" t="str">
        <f>"00741155"</f>
        <v>00741155</v>
      </c>
      <c r="K1224" s="1" t="str">
        <f>"１０９９　　　　　　　　　　　　　　　　"</f>
        <v>１０９９　　　　　　　　　　　　　　　　</v>
      </c>
      <c r="L1224" s="1"/>
    </row>
    <row r="1225" spans="1:12" ht="18" customHeight="1" x14ac:dyDescent="0.15">
      <c r="A1225" s="11">
        <v>2382</v>
      </c>
      <c r="B1225" s="11" t="s">
        <v>53</v>
      </c>
      <c r="C1225" s="11" t="s">
        <v>156</v>
      </c>
      <c r="D1225" s="11">
        <v>1</v>
      </c>
      <c r="E1225" s="11" t="s">
        <v>4</v>
      </c>
      <c r="F1225" s="12">
        <v>20600</v>
      </c>
      <c r="G1225" s="12">
        <v>20600</v>
      </c>
      <c r="H1225" s="11" t="str">
        <f t="shared" si="42"/>
        <v>平成4年12月5日</v>
      </c>
      <c r="I1225" s="22">
        <f t="shared" si="41"/>
        <v>33943</v>
      </c>
      <c r="J1225" s="1" t="str">
        <f>"00741157"</f>
        <v>00741157</v>
      </c>
      <c r="K1225" s="1" t="str">
        <f>"１１００　　　　　　　　　　　　　　　　"</f>
        <v>１１００　　　　　　　　　　　　　　　　</v>
      </c>
      <c r="L1225" s="1"/>
    </row>
    <row r="1226" spans="1:12" ht="18" customHeight="1" x14ac:dyDescent="0.15">
      <c r="A1226" s="11">
        <v>2383</v>
      </c>
      <c r="B1226" s="11" t="s">
        <v>53</v>
      </c>
      <c r="C1226" s="11" t="s">
        <v>156</v>
      </c>
      <c r="D1226" s="11">
        <v>1</v>
      </c>
      <c r="E1226" s="11" t="s">
        <v>4</v>
      </c>
      <c r="F1226" s="12">
        <v>20600</v>
      </c>
      <c r="G1226" s="12">
        <v>20600</v>
      </c>
      <c r="H1226" s="11" t="str">
        <f t="shared" si="42"/>
        <v>平成4年12月5日</v>
      </c>
      <c r="I1226" s="22">
        <f t="shared" si="41"/>
        <v>33943</v>
      </c>
      <c r="J1226" s="1" t="str">
        <f>"00741159"</f>
        <v>00741159</v>
      </c>
      <c r="K1226" s="1" t="str">
        <f>"１１０１　　　　　　　　　　　　　　　　"</f>
        <v>１１０１　　　　　　　　　　　　　　　　</v>
      </c>
      <c r="L1226" s="1"/>
    </row>
    <row r="1227" spans="1:12" ht="18" customHeight="1" x14ac:dyDescent="0.15">
      <c r="A1227" s="11">
        <v>2384</v>
      </c>
      <c r="B1227" s="11" t="s">
        <v>53</v>
      </c>
      <c r="C1227" s="11" t="s">
        <v>156</v>
      </c>
      <c r="D1227" s="11">
        <v>1</v>
      </c>
      <c r="E1227" s="11" t="s">
        <v>4</v>
      </c>
      <c r="F1227" s="12">
        <v>20600</v>
      </c>
      <c r="G1227" s="12">
        <v>20600</v>
      </c>
      <c r="H1227" s="11" t="str">
        <f t="shared" si="42"/>
        <v>平成4年12月5日</v>
      </c>
      <c r="I1227" s="22">
        <f t="shared" si="41"/>
        <v>33943</v>
      </c>
      <c r="J1227" s="1" t="str">
        <f>"00741161"</f>
        <v>00741161</v>
      </c>
      <c r="K1227" s="1" t="str">
        <f>"１１０２　　　　　　　　　　　　　　　　"</f>
        <v>１１０２　　　　　　　　　　　　　　　　</v>
      </c>
      <c r="L1227" s="1"/>
    </row>
    <row r="1228" spans="1:12" ht="18" customHeight="1" x14ac:dyDescent="0.15">
      <c r="A1228" s="11">
        <v>2385</v>
      </c>
      <c r="B1228" s="11" t="s">
        <v>53</v>
      </c>
      <c r="C1228" s="11" t="s">
        <v>156</v>
      </c>
      <c r="D1228" s="11">
        <v>1</v>
      </c>
      <c r="E1228" s="11" t="s">
        <v>4</v>
      </c>
      <c r="F1228" s="12">
        <v>20600</v>
      </c>
      <c r="G1228" s="12">
        <v>20600</v>
      </c>
      <c r="H1228" s="11" t="str">
        <f t="shared" si="42"/>
        <v>平成4年12月5日</v>
      </c>
      <c r="I1228" s="22">
        <f t="shared" si="41"/>
        <v>33943</v>
      </c>
      <c r="J1228" s="1" t="str">
        <f>"00741163"</f>
        <v>00741163</v>
      </c>
      <c r="K1228" s="1" t="str">
        <f>"１１０３　　　　　　　　　　　　　　　　"</f>
        <v>１１０３　　　　　　　　　　　　　　　　</v>
      </c>
      <c r="L1228" s="1"/>
    </row>
    <row r="1229" spans="1:12" ht="18" customHeight="1" x14ac:dyDescent="0.15">
      <c r="A1229" s="11">
        <v>2386</v>
      </c>
      <c r="B1229" s="11" t="s">
        <v>53</v>
      </c>
      <c r="C1229" s="11" t="s">
        <v>156</v>
      </c>
      <c r="D1229" s="11">
        <v>1</v>
      </c>
      <c r="E1229" s="11" t="s">
        <v>4</v>
      </c>
      <c r="F1229" s="12">
        <v>20600</v>
      </c>
      <c r="G1229" s="12">
        <v>20600</v>
      </c>
      <c r="H1229" s="11" t="str">
        <f t="shared" si="42"/>
        <v>平成4年12月5日</v>
      </c>
      <c r="I1229" s="22">
        <f t="shared" si="41"/>
        <v>33943</v>
      </c>
      <c r="J1229" s="1" t="str">
        <f>"00741165"</f>
        <v>00741165</v>
      </c>
      <c r="K1229" s="1" t="str">
        <f>"１１０４　　　　　　　　　　　　　　　　"</f>
        <v>１１０４　　　　　　　　　　　　　　　　</v>
      </c>
      <c r="L1229" s="1"/>
    </row>
    <row r="1230" spans="1:12" ht="18" customHeight="1" x14ac:dyDescent="0.15">
      <c r="A1230" s="11">
        <v>2387</v>
      </c>
      <c r="B1230" s="11" t="s">
        <v>53</v>
      </c>
      <c r="C1230" s="11" t="s">
        <v>156</v>
      </c>
      <c r="D1230" s="11">
        <v>1</v>
      </c>
      <c r="E1230" s="11" t="s">
        <v>4</v>
      </c>
      <c r="F1230" s="12">
        <v>20600</v>
      </c>
      <c r="G1230" s="12">
        <v>20600</v>
      </c>
      <c r="H1230" s="11" t="str">
        <f t="shared" si="42"/>
        <v>平成4年12月5日</v>
      </c>
      <c r="I1230" s="22">
        <f t="shared" si="41"/>
        <v>33943</v>
      </c>
      <c r="J1230" s="1" t="str">
        <f>"00741167"</f>
        <v>00741167</v>
      </c>
      <c r="K1230" s="1" t="str">
        <f>"１１０５　　　　　　　　　　　　　　　　"</f>
        <v>１１０５　　　　　　　　　　　　　　　　</v>
      </c>
      <c r="L1230" s="1"/>
    </row>
    <row r="1231" spans="1:12" ht="18" customHeight="1" x14ac:dyDescent="0.15">
      <c r="A1231" s="11">
        <v>2388</v>
      </c>
      <c r="B1231" s="11" t="s">
        <v>53</v>
      </c>
      <c r="C1231" s="11" t="s">
        <v>156</v>
      </c>
      <c r="D1231" s="11">
        <v>1</v>
      </c>
      <c r="E1231" s="11" t="s">
        <v>4</v>
      </c>
      <c r="F1231" s="12">
        <v>20600</v>
      </c>
      <c r="G1231" s="12">
        <v>20600</v>
      </c>
      <c r="H1231" s="11" t="str">
        <f t="shared" si="42"/>
        <v>平成4年12月5日</v>
      </c>
      <c r="I1231" s="22">
        <f t="shared" si="41"/>
        <v>33943</v>
      </c>
      <c r="J1231" s="1" t="str">
        <f>"00741169"</f>
        <v>00741169</v>
      </c>
      <c r="K1231" s="1" t="str">
        <f>"１１０６　　　　　　　　　　　　　　　　"</f>
        <v>１１０６　　　　　　　　　　　　　　　　</v>
      </c>
      <c r="L1231" s="1"/>
    </row>
    <row r="1232" spans="1:12" ht="18" customHeight="1" x14ac:dyDescent="0.15">
      <c r="A1232" s="11">
        <v>2389</v>
      </c>
      <c r="B1232" s="11" t="s">
        <v>53</v>
      </c>
      <c r="C1232" s="11" t="s">
        <v>156</v>
      </c>
      <c r="D1232" s="11">
        <v>1</v>
      </c>
      <c r="E1232" s="11" t="s">
        <v>4</v>
      </c>
      <c r="F1232" s="12">
        <v>20600</v>
      </c>
      <c r="G1232" s="12">
        <v>20600</v>
      </c>
      <c r="H1232" s="11" t="str">
        <f t="shared" si="42"/>
        <v>平成4年12月5日</v>
      </c>
      <c r="I1232" s="22">
        <f t="shared" si="41"/>
        <v>33943</v>
      </c>
      <c r="J1232" s="1" t="str">
        <f>"00741171"</f>
        <v>00741171</v>
      </c>
      <c r="K1232" s="1" t="str">
        <f>"１１０７　　　　　　　　　　　　　　　　"</f>
        <v>１１０７　　　　　　　　　　　　　　　　</v>
      </c>
      <c r="L1232" s="1"/>
    </row>
    <row r="1233" spans="1:12" ht="18" customHeight="1" x14ac:dyDescent="0.15">
      <c r="A1233" s="11">
        <v>2390</v>
      </c>
      <c r="B1233" s="11" t="s">
        <v>53</v>
      </c>
      <c r="C1233" s="11" t="s">
        <v>156</v>
      </c>
      <c r="D1233" s="11">
        <v>1</v>
      </c>
      <c r="E1233" s="11" t="s">
        <v>4</v>
      </c>
      <c r="F1233" s="12">
        <v>20600</v>
      </c>
      <c r="G1233" s="12">
        <v>20600</v>
      </c>
      <c r="H1233" s="11" t="str">
        <f t="shared" si="42"/>
        <v>平成4年12月5日</v>
      </c>
      <c r="I1233" s="22">
        <f t="shared" si="41"/>
        <v>33943</v>
      </c>
      <c r="J1233" s="1" t="str">
        <f>"00741173"</f>
        <v>00741173</v>
      </c>
      <c r="K1233" s="1" t="str">
        <f>"１１０８　　　　　　　　　　　　　　　　"</f>
        <v>１１０８　　　　　　　　　　　　　　　　</v>
      </c>
      <c r="L1233" s="1"/>
    </row>
    <row r="1234" spans="1:12" ht="18" customHeight="1" x14ac:dyDescent="0.15">
      <c r="A1234" s="11">
        <v>2391</v>
      </c>
      <c r="B1234" s="11" t="s">
        <v>53</v>
      </c>
      <c r="C1234" s="11" t="s">
        <v>156</v>
      </c>
      <c r="D1234" s="11">
        <v>1</v>
      </c>
      <c r="E1234" s="11" t="s">
        <v>4</v>
      </c>
      <c r="F1234" s="12">
        <v>20600</v>
      </c>
      <c r="G1234" s="12">
        <v>20600</v>
      </c>
      <c r="H1234" s="11" t="str">
        <f t="shared" si="42"/>
        <v>平成4年12月5日</v>
      </c>
      <c r="I1234" s="22">
        <f t="shared" ref="I1234:I1297" si="43">DATEVALUE(H1234)</f>
        <v>33943</v>
      </c>
      <c r="J1234" s="1" t="str">
        <f>"00741175"</f>
        <v>00741175</v>
      </c>
      <c r="K1234" s="1" t="str">
        <f>"１１０９　　　　　　　　　　　　　　　　"</f>
        <v>１１０９　　　　　　　　　　　　　　　　</v>
      </c>
      <c r="L1234" s="1"/>
    </row>
    <row r="1235" spans="1:12" ht="18" customHeight="1" x14ac:dyDescent="0.15">
      <c r="A1235" s="11">
        <v>2392</v>
      </c>
      <c r="B1235" s="11" t="s">
        <v>53</v>
      </c>
      <c r="C1235" s="11" t="s">
        <v>156</v>
      </c>
      <c r="D1235" s="11">
        <v>1</v>
      </c>
      <c r="E1235" s="11" t="s">
        <v>4</v>
      </c>
      <c r="F1235" s="12">
        <v>20600</v>
      </c>
      <c r="G1235" s="12">
        <v>20600</v>
      </c>
      <c r="H1235" s="11" t="str">
        <f t="shared" si="42"/>
        <v>平成4年12月5日</v>
      </c>
      <c r="I1235" s="22">
        <f t="shared" si="43"/>
        <v>33943</v>
      </c>
      <c r="J1235" s="1" t="str">
        <f>"00741177"</f>
        <v>00741177</v>
      </c>
      <c r="K1235" s="1" t="str">
        <f>"１１１０　　　　　　　　　　　　　　　　"</f>
        <v>１１１０　　　　　　　　　　　　　　　　</v>
      </c>
      <c r="L1235" s="1"/>
    </row>
    <row r="1236" spans="1:12" ht="18" customHeight="1" x14ac:dyDescent="0.15">
      <c r="A1236" s="11">
        <v>2393</v>
      </c>
      <c r="B1236" s="11" t="s">
        <v>53</v>
      </c>
      <c r="C1236" s="11" t="s">
        <v>156</v>
      </c>
      <c r="D1236" s="11">
        <v>1</v>
      </c>
      <c r="E1236" s="11" t="s">
        <v>4</v>
      </c>
      <c r="F1236" s="12">
        <v>20600</v>
      </c>
      <c r="G1236" s="12">
        <v>20600</v>
      </c>
      <c r="H1236" s="11" t="str">
        <f t="shared" si="42"/>
        <v>平成4年12月5日</v>
      </c>
      <c r="I1236" s="22">
        <f t="shared" si="43"/>
        <v>33943</v>
      </c>
      <c r="J1236" s="1" t="str">
        <f>"00741179"</f>
        <v>00741179</v>
      </c>
      <c r="K1236" s="1" t="str">
        <f>"１１１２　　　　　　　　　　　　　　　　"</f>
        <v>１１１２　　　　　　　　　　　　　　　　</v>
      </c>
      <c r="L1236" s="1"/>
    </row>
    <row r="1237" spans="1:12" ht="18" customHeight="1" x14ac:dyDescent="0.15">
      <c r="A1237" s="11">
        <v>2394</v>
      </c>
      <c r="B1237" s="11" t="s">
        <v>53</v>
      </c>
      <c r="C1237" s="11" t="s">
        <v>156</v>
      </c>
      <c r="D1237" s="11">
        <v>1</v>
      </c>
      <c r="E1237" s="11" t="s">
        <v>4</v>
      </c>
      <c r="F1237" s="12">
        <v>20600</v>
      </c>
      <c r="G1237" s="12">
        <v>20600</v>
      </c>
      <c r="H1237" s="11" t="str">
        <f t="shared" si="42"/>
        <v>平成4年12月5日</v>
      </c>
      <c r="I1237" s="22">
        <f t="shared" si="43"/>
        <v>33943</v>
      </c>
      <c r="J1237" s="1" t="str">
        <f>"00741181"</f>
        <v>00741181</v>
      </c>
      <c r="K1237" s="1" t="str">
        <f>"１１１３　　　　　　　　　　　　　　　　"</f>
        <v>１１１３　　　　　　　　　　　　　　　　</v>
      </c>
      <c r="L1237" s="1"/>
    </row>
    <row r="1238" spans="1:12" ht="18" customHeight="1" x14ac:dyDescent="0.15">
      <c r="A1238" s="11">
        <v>2395</v>
      </c>
      <c r="B1238" s="11" t="s">
        <v>53</v>
      </c>
      <c r="C1238" s="11" t="s">
        <v>156</v>
      </c>
      <c r="D1238" s="11">
        <v>1</v>
      </c>
      <c r="E1238" s="11" t="s">
        <v>4</v>
      </c>
      <c r="F1238" s="12">
        <v>20600</v>
      </c>
      <c r="G1238" s="12">
        <v>20600</v>
      </c>
      <c r="H1238" s="11" t="str">
        <f t="shared" si="42"/>
        <v>平成4年12月5日</v>
      </c>
      <c r="I1238" s="22">
        <f t="shared" si="43"/>
        <v>33943</v>
      </c>
      <c r="J1238" s="1" t="str">
        <f>"00741183"</f>
        <v>00741183</v>
      </c>
      <c r="K1238" s="1" t="str">
        <f>"１１１４　　　　　　　　　　　　　　　　"</f>
        <v>１１１４　　　　　　　　　　　　　　　　</v>
      </c>
      <c r="L1238" s="1"/>
    </row>
    <row r="1239" spans="1:12" ht="18" customHeight="1" x14ac:dyDescent="0.15">
      <c r="A1239" s="11">
        <v>2396</v>
      </c>
      <c r="B1239" s="11" t="s">
        <v>53</v>
      </c>
      <c r="C1239" s="11" t="s">
        <v>156</v>
      </c>
      <c r="D1239" s="11">
        <v>1</v>
      </c>
      <c r="E1239" s="11" t="s">
        <v>4</v>
      </c>
      <c r="F1239" s="12">
        <v>20600</v>
      </c>
      <c r="G1239" s="12">
        <v>20600</v>
      </c>
      <c r="H1239" s="11" t="str">
        <f t="shared" si="42"/>
        <v>平成4年12月5日</v>
      </c>
      <c r="I1239" s="22">
        <f t="shared" si="43"/>
        <v>33943</v>
      </c>
      <c r="J1239" s="1" t="str">
        <f>"00741185"</f>
        <v>00741185</v>
      </c>
      <c r="K1239" s="1" t="str">
        <f>"１１１５　　　　　　　　　　　　　　　　"</f>
        <v>１１１５　　　　　　　　　　　　　　　　</v>
      </c>
      <c r="L1239" s="1"/>
    </row>
    <row r="1240" spans="1:12" ht="18" customHeight="1" x14ac:dyDescent="0.15">
      <c r="A1240" s="11">
        <v>2397</v>
      </c>
      <c r="B1240" s="11" t="s">
        <v>53</v>
      </c>
      <c r="C1240" s="11" t="s">
        <v>156</v>
      </c>
      <c r="D1240" s="11">
        <v>1</v>
      </c>
      <c r="E1240" s="11" t="s">
        <v>4</v>
      </c>
      <c r="F1240" s="12">
        <v>20600</v>
      </c>
      <c r="G1240" s="12">
        <v>20600</v>
      </c>
      <c r="H1240" s="11" t="str">
        <f t="shared" si="42"/>
        <v>平成4年12月5日</v>
      </c>
      <c r="I1240" s="22">
        <f t="shared" si="43"/>
        <v>33943</v>
      </c>
      <c r="J1240" s="1" t="str">
        <f>"00741187"</f>
        <v>00741187</v>
      </c>
      <c r="K1240" s="1" t="str">
        <f>"１１１６　　　　　　　　　　　　　　　　"</f>
        <v>１１１６　　　　　　　　　　　　　　　　</v>
      </c>
      <c r="L1240" s="1"/>
    </row>
    <row r="1241" spans="1:12" ht="18" customHeight="1" x14ac:dyDescent="0.15">
      <c r="A1241" s="11">
        <v>2398</v>
      </c>
      <c r="B1241" s="11" t="s">
        <v>53</v>
      </c>
      <c r="C1241" s="11" t="s">
        <v>156</v>
      </c>
      <c r="D1241" s="11">
        <v>1</v>
      </c>
      <c r="E1241" s="11" t="s">
        <v>4</v>
      </c>
      <c r="F1241" s="12">
        <v>20600</v>
      </c>
      <c r="G1241" s="12">
        <v>20600</v>
      </c>
      <c r="H1241" s="11" t="str">
        <f t="shared" si="42"/>
        <v>平成4年12月5日</v>
      </c>
      <c r="I1241" s="22">
        <f t="shared" si="43"/>
        <v>33943</v>
      </c>
      <c r="J1241" s="1" t="str">
        <f>"00741189"</f>
        <v>00741189</v>
      </c>
      <c r="K1241" s="1" t="str">
        <f>"１１１７　　　　　　　　　　　　　　　　"</f>
        <v>１１１７　　　　　　　　　　　　　　　　</v>
      </c>
      <c r="L1241" s="1"/>
    </row>
    <row r="1242" spans="1:12" ht="18" customHeight="1" x14ac:dyDescent="0.15">
      <c r="A1242" s="11">
        <v>2399</v>
      </c>
      <c r="B1242" s="11" t="s">
        <v>53</v>
      </c>
      <c r="C1242" s="11" t="s">
        <v>156</v>
      </c>
      <c r="D1242" s="11">
        <v>1</v>
      </c>
      <c r="E1242" s="11" t="s">
        <v>4</v>
      </c>
      <c r="F1242" s="12">
        <v>20600</v>
      </c>
      <c r="G1242" s="12">
        <v>20600</v>
      </c>
      <c r="H1242" s="11" t="str">
        <f t="shared" si="42"/>
        <v>平成4年12月5日</v>
      </c>
      <c r="I1242" s="22">
        <f t="shared" si="43"/>
        <v>33943</v>
      </c>
      <c r="J1242" s="1" t="str">
        <f>"00741191"</f>
        <v>00741191</v>
      </c>
      <c r="K1242" s="1" t="str">
        <f>"１１１８　　　　　　　　　　　　　　　　"</f>
        <v>１１１８　　　　　　　　　　　　　　　　</v>
      </c>
      <c r="L1242" s="1"/>
    </row>
    <row r="1243" spans="1:12" ht="18" customHeight="1" x14ac:dyDescent="0.15">
      <c r="A1243" s="11">
        <v>2400</v>
      </c>
      <c r="B1243" s="11" t="s">
        <v>53</v>
      </c>
      <c r="C1243" s="11" t="s">
        <v>156</v>
      </c>
      <c r="D1243" s="11">
        <v>1</v>
      </c>
      <c r="E1243" s="11" t="s">
        <v>4</v>
      </c>
      <c r="F1243" s="12">
        <v>20600</v>
      </c>
      <c r="G1243" s="12">
        <v>20600</v>
      </c>
      <c r="H1243" s="11" t="str">
        <f t="shared" si="42"/>
        <v>平成4年12月5日</v>
      </c>
      <c r="I1243" s="22">
        <f t="shared" si="43"/>
        <v>33943</v>
      </c>
      <c r="J1243" s="1" t="str">
        <f>"00741193"</f>
        <v>00741193</v>
      </c>
      <c r="K1243" s="1" t="str">
        <f>"１１１９　　　　　　　　　　　　　　　　"</f>
        <v>１１１９　　　　　　　　　　　　　　　　</v>
      </c>
      <c r="L1243" s="1"/>
    </row>
    <row r="1244" spans="1:12" ht="18" customHeight="1" x14ac:dyDescent="0.15">
      <c r="A1244" s="11">
        <v>2401</v>
      </c>
      <c r="B1244" s="11" t="s">
        <v>53</v>
      </c>
      <c r="C1244" s="11" t="s">
        <v>156</v>
      </c>
      <c r="D1244" s="11">
        <v>1</v>
      </c>
      <c r="E1244" s="11" t="s">
        <v>4</v>
      </c>
      <c r="F1244" s="12">
        <v>20600</v>
      </c>
      <c r="G1244" s="12">
        <v>20600</v>
      </c>
      <c r="H1244" s="11" t="str">
        <f t="shared" si="42"/>
        <v>平成4年12月5日</v>
      </c>
      <c r="I1244" s="22">
        <f t="shared" si="43"/>
        <v>33943</v>
      </c>
      <c r="J1244" s="1" t="str">
        <f>"00741195"</f>
        <v>00741195</v>
      </c>
      <c r="K1244" s="1" t="str">
        <f>"１１２０　　　　　　　　　　　　　　　　"</f>
        <v>１１２０　　　　　　　　　　　　　　　　</v>
      </c>
      <c r="L1244" s="1"/>
    </row>
    <row r="1245" spans="1:12" ht="18" customHeight="1" x14ac:dyDescent="0.15">
      <c r="A1245" s="11">
        <v>2402</v>
      </c>
      <c r="B1245" s="11" t="s">
        <v>53</v>
      </c>
      <c r="C1245" s="11" t="s">
        <v>156</v>
      </c>
      <c r="D1245" s="11">
        <v>1</v>
      </c>
      <c r="E1245" s="11" t="s">
        <v>4</v>
      </c>
      <c r="F1245" s="12">
        <v>20600</v>
      </c>
      <c r="G1245" s="12">
        <v>20600</v>
      </c>
      <c r="H1245" s="11" t="str">
        <f t="shared" si="42"/>
        <v>平成4年12月5日</v>
      </c>
      <c r="I1245" s="22">
        <f t="shared" si="43"/>
        <v>33943</v>
      </c>
      <c r="J1245" s="1" t="str">
        <f>"00741197"</f>
        <v>00741197</v>
      </c>
      <c r="K1245" s="1" t="str">
        <f>"１１２１　　　　　　　　　　　　　　　　"</f>
        <v>１１２１　　　　　　　　　　　　　　　　</v>
      </c>
      <c r="L1245" s="1"/>
    </row>
    <row r="1246" spans="1:12" ht="18" customHeight="1" x14ac:dyDescent="0.15">
      <c r="A1246" s="11">
        <v>2403</v>
      </c>
      <c r="B1246" s="11" t="s">
        <v>53</v>
      </c>
      <c r="C1246" s="11" t="s">
        <v>156</v>
      </c>
      <c r="D1246" s="11">
        <v>1</v>
      </c>
      <c r="E1246" s="11" t="s">
        <v>4</v>
      </c>
      <c r="F1246" s="12">
        <v>20600</v>
      </c>
      <c r="G1246" s="12">
        <v>20600</v>
      </c>
      <c r="H1246" s="11" t="str">
        <f t="shared" si="42"/>
        <v>平成4年12月5日</v>
      </c>
      <c r="I1246" s="22">
        <f t="shared" si="43"/>
        <v>33943</v>
      </c>
      <c r="J1246" s="1" t="str">
        <f>"00741199"</f>
        <v>00741199</v>
      </c>
      <c r="K1246" s="1" t="str">
        <f>"１１２２　　　　　　　　　　　　　　　　"</f>
        <v>１１２２　　　　　　　　　　　　　　　　</v>
      </c>
      <c r="L1246" s="1"/>
    </row>
    <row r="1247" spans="1:12" ht="18" customHeight="1" x14ac:dyDescent="0.15">
      <c r="A1247" s="11">
        <v>2404</v>
      </c>
      <c r="B1247" s="11" t="s">
        <v>53</v>
      </c>
      <c r="C1247" s="11" t="s">
        <v>156</v>
      </c>
      <c r="D1247" s="11">
        <v>1</v>
      </c>
      <c r="E1247" s="11" t="s">
        <v>4</v>
      </c>
      <c r="F1247" s="12">
        <v>20600</v>
      </c>
      <c r="G1247" s="12">
        <v>20600</v>
      </c>
      <c r="H1247" s="11" t="str">
        <f t="shared" si="42"/>
        <v>平成4年12月5日</v>
      </c>
      <c r="I1247" s="22">
        <f t="shared" si="43"/>
        <v>33943</v>
      </c>
      <c r="J1247" s="1" t="str">
        <f>"00741201"</f>
        <v>00741201</v>
      </c>
      <c r="K1247" s="1" t="str">
        <f>"１１２３　　　　　　　　　　　　　　　　"</f>
        <v>１１２３　　　　　　　　　　　　　　　　</v>
      </c>
      <c r="L1247" s="1"/>
    </row>
    <row r="1248" spans="1:12" ht="18" customHeight="1" x14ac:dyDescent="0.15">
      <c r="A1248" s="11">
        <v>2405</v>
      </c>
      <c r="B1248" s="11" t="s">
        <v>53</v>
      </c>
      <c r="C1248" s="11" t="s">
        <v>156</v>
      </c>
      <c r="D1248" s="11">
        <v>1</v>
      </c>
      <c r="E1248" s="11" t="s">
        <v>4</v>
      </c>
      <c r="F1248" s="12">
        <v>20600</v>
      </c>
      <c r="G1248" s="12">
        <v>20600</v>
      </c>
      <c r="H1248" s="11" t="str">
        <f t="shared" si="42"/>
        <v>平成4年12月5日</v>
      </c>
      <c r="I1248" s="22">
        <f t="shared" si="43"/>
        <v>33943</v>
      </c>
      <c r="J1248" s="1" t="str">
        <f>"00741203"</f>
        <v>00741203</v>
      </c>
      <c r="K1248" s="1" t="str">
        <f>"１１２４　　　　　　　　　　　　　　　　"</f>
        <v>１１２４　　　　　　　　　　　　　　　　</v>
      </c>
      <c r="L1248" s="1"/>
    </row>
    <row r="1249" spans="1:12" ht="18" customHeight="1" x14ac:dyDescent="0.15">
      <c r="A1249" s="11">
        <v>2406</v>
      </c>
      <c r="B1249" s="11" t="s">
        <v>53</v>
      </c>
      <c r="C1249" s="11" t="s">
        <v>156</v>
      </c>
      <c r="D1249" s="11">
        <v>1</v>
      </c>
      <c r="E1249" s="11" t="s">
        <v>4</v>
      </c>
      <c r="F1249" s="12">
        <v>20600</v>
      </c>
      <c r="G1249" s="12">
        <v>20600</v>
      </c>
      <c r="H1249" s="11" t="str">
        <f t="shared" si="42"/>
        <v>平成4年12月5日</v>
      </c>
      <c r="I1249" s="22">
        <f t="shared" si="43"/>
        <v>33943</v>
      </c>
      <c r="J1249" s="1" t="str">
        <f>"00741205"</f>
        <v>00741205</v>
      </c>
      <c r="K1249" s="1" t="str">
        <f>"１１２５　　　　　　　　　　　　　　　　"</f>
        <v>１１２５　　　　　　　　　　　　　　　　</v>
      </c>
      <c r="L1249" s="1"/>
    </row>
    <row r="1250" spans="1:12" ht="18" customHeight="1" x14ac:dyDescent="0.15">
      <c r="A1250" s="11">
        <v>2407</v>
      </c>
      <c r="B1250" s="11" t="s">
        <v>53</v>
      </c>
      <c r="C1250" s="11" t="s">
        <v>156</v>
      </c>
      <c r="D1250" s="11">
        <v>1</v>
      </c>
      <c r="E1250" s="11" t="s">
        <v>4</v>
      </c>
      <c r="F1250" s="12">
        <v>20600</v>
      </c>
      <c r="G1250" s="12">
        <v>20600</v>
      </c>
      <c r="H1250" s="11" t="str">
        <f t="shared" si="42"/>
        <v>平成4年12月5日</v>
      </c>
      <c r="I1250" s="22">
        <f t="shared" si="43"/>
        <v>33943</v>
      </c>
      <c r="J1250" s="1" t="str">
        <f>"00741207"</f>
        <v>00741207</v>
      </c>
      <c r="K1250" s="1" t="str">
        <f>"１１２６　　　　　　　　　　　　　　　　"</f>
        <v>１１２６　　　　　　　　　　　　　　　　</v>
      </c>
      <c r="L1250" s="1"/>
    </row>
    <row r="1251" spans="1:12" ht="18" customHeight="1" x14ac:dyDescent="0.15">
      <c r="A1251" s="11">
        <v>2408</v>
      </c>
      <c r="B1251" s="11" t="s">
        <v>53</v>
      </c>
      <c r="C1251" s="11" t="s">
        <v>156</v>
      </c>
      <c r="D1251" s="11">
        <v>1</v>
      </c>
      <c r="E1251" s="11" t="s">
        <v>4</v>
      </c>
      <c r="F1251" s="12">
        <v>20600</v>
      </c>
      <c r="G1251" s="12">
        <v>20600</v>
      </c>
      <c r="H1251" s="11" t="str">
        <f t="shared" si="42"/>
        <v>平成4年12月5日</v>
      </c>
      <c r="I1251" s="22">
        <f t="shared" si="43"/>
        <v>33943</v>
      </c>
      <c r="J1251" s="1" t="str">
        <f>"00741209"</f>
        <v>00741209</v>
      </c>
      <c r="K1251" s="1" t="str">
        <f>"１１２７　　　　　　　　　　　　　　　　"</f>
        <v>１１２７　　　　　　　　　　　　　　　　</v>
      </c>
      <c r="L1251" s="1"/>
    </row>
    <row r="1252" spans="1:12" ht="18" customHeight="1" x14ac:dyDescent="0.15">
      <c r="A1252" s="11">
        <v>2409</v>
      </c>
      <c r="B1252" s="11" t="s">
        <v>53</v>
      </c>
      <c r="C1252" s="11" t="s">
        <v>156</v>
      </c>
      <c r="D1252" s="11">
        <v>1</v>
      </c>
      <c r="E1252" s="11" t="s">
        <v>4</v>
      </c>
      <c r="F1252" s="12">
        <v>20600</v>
      </c>
      <c r="G1252" s="12">
        <v>20600</v>
      </c>
      <c r="H1252" s="11" t="str">
        <f t="shared" si="42"/>
        <v>平成4年12月5日</v>
      </c>
      <c r="I1252" s="22">
        <f t="shared" si="43"/>
        <v>33943</v>
      </c>
      <c r="J1252" s="1" t="str">
        <f>"00741211"</f>
        <v>00741211</v>
      </c>
      <c r="K1252" s="1" t="str">
        <f>"１１２８　　　　　　　　　　　　　　　　"</f>
        <v>１１２８　　　　　　　　　　　　　　　　</v>
      </c>
      <c r="L1252" s="1"/>
    </row>
    <row r="1253" spans="1:12" ht="18" customHeight="1" x14ac:dyDescent="0.15">
      <c r="A1253" s="11">
        <v>2410</v>
      </c>
      <c r="B1253" s="11" t="s">
        <v>53</v>
      </c>
      <c r="C1253" s="11" t="s">
        <v>156</v>
      </c>
      <c r="D1253" s="11">
        <v>1</v>
      </c>
      <c r="E1253" s="11" t="s">
        <v>4</v>
      </c>
      <c r="F1253" s="12">
        <v>20600</v>
      </c>
      <c r="G1253" s="12">
        <v>20600</v>
      </c>
      <c r="H1253" s="11" t="str">
        <f t="shared" si="42"/>
        <v>平成4年12月5日</v>
      </c>
      <c r="I1253" s="22">
        <f t="shared" si="43"/>
        <v>33943</v>
      </c>
      <c r="J1253" s="1" t="str">
        <f>"00741213"</f>
        <v>00741213</v>
      </c>
      <c r="K1253" s="1" t="str">
        <f>"１１２９　　　　　　　　　　　　　　　　"</f>
        <v>１１２９　　　　　　　　　　　　　　　　</v>
      </c>
      <c r="L1253" s="1"/>
    </row>
    <row r="1254" spans="1:12" ht="18" customHeight="1" x14ac:dyDescent="0.15">
      <c r="A1254" s="11">
        <v>2411</v>
      </c>
      <c r="B1254" s="11" t="s">
        <v>53</v>
      </c>
      <c r="C1254" s="11" t="s">
        <v>156</v>
      </c>
      <c r="D1254" s="11">
        <v>1</v>
      </c>
      <c r="E1254" s="11" t="s">
        <v>4</v>
      </c>
      <c r="F1254" s="12">
        <v>20600</v>
      </c>
      <c r="G1254" s="12">
        <v>20600</v>
      </c>
      <c r="H1254" s="11" t="str">
        <f t="shared" si="42"/>
        <v>平成4年12月5日</v>
      </c>
      <c r="I1254" s="22">
        <f t="shared" si="43"/>
        <v>33943</v>
      </c>
      <c r="J1254" s="1" t="str">
        <f>"00741214"</f>
        <v>00741214</v>
      </c>
      <c r="K1254" s="1" t="str">
        <f>"１１３０　　　　　　　　　　　　　　　　"</f>
        <v>１１３０　　　　　　　　　　　　　　　　</v>
      </c>
      <c r="L1254" s="1"/>
    </row>
    <row r="1255" spans="1:12" ht="18" customHeight="1" x14ac:dyDescent="0.15">
      <c r="A1255" s="11">
        <v>2412</v>
      </c>
      <c r="B1255" s="11" t="s">
        <v>53</v>
      </c>
      <c r="C1255" s="11" t="s">
        <v>156</v>
      </c>
      <c r="D1255" s="11">
        <v>1</v>
      </c>
      <c r="E1255" s="11" t="s">
        <v>4</v>
      </c>
      <c r="F1255" s="12">
        <v>20600</v>
      </c>
      <c r="G1255" s="12">
        <v>20600</v>
      </c>
      <c r="H1255" s="11" t="str">
        <f t="shared" si="42"/>
        <v>平成4年12月5日</v>
      </c>
      <c r="I1255" s="22">
        <f t="shared" si="43"/>
        <v>33943</v>
      </c>
      <c r="J1255" s="1" t="str">
        <f>"00741216"</f>
        <v>00741216</v>
      </c>
      <c r="K1255" s="1" t="str">
        <f>"１１３１　　　　　　　　　　　　　　　　"</f>
        <v>１１３１　　　　　　　　　　　　　　　　</v>
      </c>
      <c r="L1255" s="1"/>
    </row>
    <row r="1256" spans="1:12" ht="18" customHeight="1" x14ac:dyDescent="0.15">
      <c r="A1256" s="11">
        <v>2413</v>
      </c>
      <c r="B1256" s="11" t="s">
        <v>53</v>
      </c>
      <c r="C1256" s="11" t="s">
        <v>156</v>
      </c>
      <c r="D1256" s="11">
        <v>1</v>
      </c>
      <c r="E1256" s="11" t="s">
        <v>4</v>
      </c>
      <c r="F1256" s="12">
        <v>20600</v>
      </c>
      <c r="G1256" s="12">
        <v>20600</v>
      </c>
      <c r="H1256" s="11" t="str">
        <f t="shared" si="42"/>
        <v>平成4年12月5日</v>
      </c>
      <c r="I1256" s="22">
        <f t="shared" si="43"/>
        <v>33943</v>
      </c>
      <c r="J1256" s="1" t="str">
        <f>"00741218"</f>
        <v>00741218</v>
      </c>
      <c r="K1256" s="1" t="str">
        <f>"１１３２　　　　　　　　　　　　　　　　"</f>
        <v>１１３２　　　　　　　　　　　　　　　　</v>
      </c>
      <c r="L1256" s="1"/>
    </row>
    <row r="1257" spans="1:12" ht="18" customHeight="1" x14ac:dyDescent="0.15">
      <c r="A1257" s="11">
        <v>2414</v>
      </c>
      <c r="B1257" s="11" t="s">
        <v>53</v>
      </c>
      <c r="C1257" s="11" t="s">
        <v>156</v>
      </c>
      <c r="D1257" s="11">
        <v>1</v>
      </c>
      <c r="E1257" s="11" t="s">
        <v>4</v>
      </c>
      <c r="F1257" s="12">
        <v>20600</v>
      </c>
      <c r="G1257" s="12">
        <v>20600</v>
      </c>
      <c r="H1257" s="11" t="str">
        <f t="shared" si="42"/>
        <v>平成4年12月5日</v>
      </c>
      <c r="I1257" s="22">
        <f t="shared" si="43"/>
        <v>33943</v>
      </c>
      <c r="J1257" s="1" t="str">
        <f>"00741220"</f>
        <v>00741220</v>
      </c>
      <c r="K1257" s="1" t="str">
        <f>"１１３３　　　　　　　　　　　　　　　　"</f>
        <v>１１３３　　　　　　　　　　　　　　　　</v>
      </c>
      <c r="L1257" s="1"/>
    </row>
    <row r="1258" spans="1:12" ht="18" customHeight="1" x14ac:dyDescent="0.15">
      <c r="A1258" s="11">
        <v>2415</v>
      </c>
      <c r="B1258" s="11" t="s">
        <v>53</v>
      </c>
      <c r="C1258" s="11" t="s">
        <v>156</v>
      </c>
      <c r="D1258" s="11">
        <v>1</v>
      </c>
      <c r="E1258" s="11" t="s">
        <v>4</v>
      </c>
      <c r="F1258" s="12">
        <v>20600</v>
      </c>
      <c r="G1258" s="12">
        <v>20600</v>
      </c>
      <c r="H1258" s="11" t="str">
        <f t="shared" si="42"/>
        <v>平成4年12月5日</v>
      </c>
      <c r="I1258" s="22">
        <f t="shared" si="43"/>
        <v>33943</v>
      </c>
      <c r="J1258" s="1" t="str">
        <f>"00741222"</f>
        <v>00741222</v>
      </c>
      <c r="K1258" s="1" t="str">
        <f>"１１３４　　　　　　　　　　　　　　　　"</f>
        <v>１１３４　　　　　　　　　　　　　　　　</v>
      </c>
      <c r="L1258" s="1"/>
    </row>
    <row r="1259" spans="1:12" ht="18" customHeight="1" x14ac:dyDescent="0.15">
      <c r="A1259" s="11">
        <v>2416</v>
      </c>
      <c r="B1259" s="11" t="s">
        <v>53</v>
      </c>
      <c r="C1259" s="11" t="s">
        <v>156</v>
      </c>
      <c r="D1259" s="11">
        <v>1</v>
      </c>
      <c r="E1259" s="11" t="s">
        <v>4</v>
      </c>
      <c r="F1259" s="12">
        <v>20600</v>
      </c>
      <c r="G1259" s="12">
        <v>20600</v>
      </c>
      <c r="H1259" s="11" t="str">
        <f t="shared" si="42"/>
        <v>平成4年12月5日</v>
      </c>
      <c r="I1259" s="22">
        <f t="shared" si="43"/>
        <v>33943</v>
      </c>
      <c r="J1259" s="1" t="str">
        <f>"00741224"</f>
        <v>00741224</v>
      </c>
      <c r="K1259" s="1" t="str">
        <f>"１１３５　　　　　　　　　　　　　　　　"</f>
        <v>１１３５　　　　　　　　　　　　　　　　</v>
      </c>
      <c r="L1259" s="1"/>
    </row>
    <row r="1260" spans="1:12" ht="18" customHeight="1" x14ac:dyDescent="0.15">
      <c r="A1260" s="11">
        <v>2417</v>
      </c>
      <c r="B1260" s="11" t="s">
        <v>53</v>
      </c>
      <c r="C1260" s="11" t="s">
        <v>156</v>
      </c>
      <c r="D1260" s="11">
        <v>1</v>
      </c>
      <c r="E1260" s="11" t="s">
        <v>4</v>
      </c>
      <c r="F1260" s="12">
        <v>20600</v>
      </c>
      <c r="G1260" s="12">
        <v>20600</v>
      </c>
      <c r="H1260" s="11" t="str">
        <f t="shared" si="42"/>
        <v>平成4年12月5日</v>
      </c>
      <c r="I1260" s="22">
        <f t="shared" si="43"/>
        <v>33943</v>
      </c>
      <c r="J1260" s="1" t="str">
        <f>"00741226"</f>
        <v>00741226</v>
      </c>
      <c r="K1260" s="1" t="str">
        <f>"１１３６　　　　　　　　　　　　　　　　"</f>
        <v>１１３６　　　　　　　　　　　　　　　　</v>
      </c>
      <c r="L1260" s="1"/>
    </row>
    <row r="1261" spans="1:12" ht="18" customHeight="1" x14ac:dyDescent="0.15">
      <c r="A1261" s="11">
        <v>2418</v>
      </c>
      <c r="B1261" s="11" t="s">
        <v>53</v>
      </c>
      <c r="C1261" s="11" t="s">
        <v>156</v>
      </c>
      <c r="D1261" s="11">
        <v>1</v>
      </c>
      <c r="E1261" s="11" t="s">
        <v>4</v>
      </c>
      <c r="F1261" s="12">
        <v>20600</v>
      </c>
      <c r="G1261" s="12">
        <v>20600</v>
      </c>
      <c r="H1261" s="11" t="str">
        <f t="shared" si="42"/>
        <v>平成4年12月5日</v>
      </c>
      <c r="I1261" s="22">
        <f t="shared" si="43"/>
        <v>33943</v>
      </c>
      <c r="J1261" s="1" t="str">
        <f>"00741228"</f>
        <v>00741228</v>
      </c>
      <c r="K1261" s="1" t="str">
        <f>"１１３７　　　　　　　　　　　　　　　　"</f>
        <v>１１３７　　　　　　　　　　　　　　　　</v>
      </c>
      <c r="L1261" s="1"/>
    </row>
    <row r="1262" spans="1:12" ht="18" customHeight="1" x14ac:dyDescent="0.15">
      <c r="A1262" s="11">
        <v>2419</v>
      </c>
      <c r="B1262" s="11" t="s">
        <v>53</v>
      </c>
      <c r="C1262" s="11" t="s">
        <v>156</v>
      </c>
      <c r="D1262" s="11">
        <v>1</v>
      </c>
      <c r="E1262" s="11" t="s">
        <v>4</v>
      </c>
      <c r="F1262" s="12">
        <v>20600</v>
      </c>
      <c r="G1262" s="12">
        <v>20600</v>
      </c>
      <c r="H1262" s="11" t="str">
        <f t="shared" ref="H1262:H1325" si="44">"平成4年12月5日"</f>
        <v>平成4年12月5日</v>
      </c>
      <c r="I1262" s="22">
        <f t="shared" si="43"/>
        <v>33943</v>
      </c>
      <c r="J1262" s="1" t="str">
        <f>"00741230"</f>
        <v>00741230</v>
      </c>
      <c r="K1262" s="1" t="str">
        <f>"１１３８　　　　　　　　　　　　　　　　"</f>
        <v>１１３８　　　　　　　　　　　　　　　　</v>
      </c>
      <c r="L1262" s="1"/>
    </row>
    <row r="1263" spans="1:12" ht="18" customHeight="1" x14ac:dyDescent="0.15">
      <c r="A1263" s="11">
        <v>2420</v>
      </c>
      <c r="B1263" s="11" t="s">
        <v>53</v>
      </c>
      <c r="C1263" s="11" t="s">
        <v>156</v>
      </c>
      <c r="D1263" s="11">
        <v>1</v>
      </c>
      <c r="E1263" s="11" t="s">
        <v>4</v>
      </c>
      <c r="F1263" s="12">
        <v>20600</v>
      </c>
      <c r="G1263" s="12">
        <v>20600</v>
      </c>
      <c r="H1263" s="11" t="str">
        <f t="shared" si="44"/>
        <v>平成4年12月5日</v>
      </c>
      <c r="I1263" s="22">
        <f t="shared" si="43"/>
        <v>33943</v>
      </c>
      <c r="J1263" s="1" t="str">
        <f>"00741232"</f>
        <v>00741232</v>
      </c>
      <c r="K1263" s="1" t="str">
        <f>"１１３９　　　　　　　　　　　　　　　　"</f>
        <v>１１３９　　　　　　　　　　　　　　　　</v>
      </c>
      <c r="L1263" s="1"/>
    </row>
    <row r="1264" spans="1:12" ht="18" customHeight="1" x14ac:dyDescent="0.15">
      <c r="A1264" s="11">
        <v>2421</v>
      </c>
      <c r="B1264" s="11" t="s">
        <v>53</v>
      </c>
      <c r="C1264" s="11" t="s">
        <v>156</v>
      </c>
      <c r="D1264" s="11">
        <v>1</v>
      </c>
      <c r="E1264" s="11" t="s">
        <v>4</v>
      </c>
      <c r="F1264" s="12">
        <v>20600</v>
      </c>
      <c r="G1264" s="12">
        <v>20600</v>
      </c>
      <c r="H1264" s="11" t="str">
        <f t="shared" si="44"/>
        <v>平成4年12月5日</v>
      </c>
      <c r="I1264" s="22">
        <f t="shared" si="43"/>
        <v>33943</v>
      </c>
      <c r="J1264" s="1" t="str">
        <f>"00741234"</f>
        <v>00741234</v>
      </c>
      <c r="K1264" s="1" t="str">
        <f>"１１４０　　　　　　　　　　　　　　　　"</f>
        <v>１１４０　　　　　　　　　　　　　　　　</v>
      </c>
      <c r="L1264" s="1"/>
    </row>
    <row r="1265" spans="1:12" ht="18" customHeight="1" x14ac:dyDescent="0.15">
      <c r="A1265" s="11">
        <v>2422</v>
      </c>
      <c r="B1265" s="11" t="s">
        <v>53</v>
      </c>
      <c r="C1265" s="11" t="s">
        <v>156</v>
      </c>
      <c r="D1265" s="11">
        <v>1</v>
      </c>
      <c r="E1265" s="11" t="s">
        <v>4</v>
      </c>
      <c r="F1265" s="12">
        <v>20600</v>
      </c>
      <c r="G1265" s="12">
        <v>20600</v>
      </c>
      <c r="H1265" s="11" t="str">
        <f t="shared" si="44"/>
        <v>平成4年12月5日</v>
      </c>
      <c r="I1265" s="22">
        <f t="shared" si="43"/>
        <v>33943</v>
      </c>
      <c r="J1265" s="1" t="str">
        <f>"00741236"</f>
        <v>00741236</v>
      </c>
      <c r="K1265" s="1" t="str">
        <f>"１１４１　　　　　　　　　　　　　　　　"</f>
        <v>１１４１　　　　　　　　　　　　　　　　</v>
      </c>
      <c r="L1265" s="1"/>
    </row>
    <row r="1266" spans="1:12" ht="18" customHeight="1" x14ac:dyDescent="0.15">
      <c r="A1266" s="11">
        <v>2423</v>
      </c>
      <c r="B1266" s="11" t="s">
        <v>53</v>
      </c>
      <c r="C1266" s="11" t="s">
        <v>156</v>
      </c>
      <c r="D1266" s="11">
        <v>1</v>
      </c>
      <c r="E1266" s="11" t="s">
        <v>4</v>
      </c>
      <c r="F1266" s="12">
        <v>20600</v>
      </c>
      <c r="G1266" s="12">
        <v>20600</v>
      </c>
      <c r="H1266" s="11" t="str">
        <f t="shared" si="44"/>
        <v>平成4年12月5日</v>
      </c>
      <c r="I1266" s="22">
        <f t="shared" si="43"/>
        <v>33943</v>
      </c>
      <c r="J1266" s="1" t="str">
        <f>"00741238"</f>
        <v>00741238</v>
      </c>
      <c r="K1266" s="1" t="str">
        <f>"１１４２　　　　　　　　　　　　　　　　"</f>
        <v>１１４２　　　　　　　　　　　　　　　　</v>
      </c>
      <c r="L1266" s="1"/>
    </row>
    <row r="1267" spans="1:12" ht="18" customHeight="1" x14ac:dyDescent="0.15">
      <c r="A1267" s="11">
        <v>2424</v>
      </c>
      <c r="B1267" s="11" t="s">
        <v>53</v>
      </c>
      <c r="C1267" s="11" t="s">
        <v>156</v>
      </c>
      <c r="D1267" s="11">
        <v>1</v>
      </c>
      <c r="E1267" s="11" t="s">
        <v>4</v>
      </c>
      <c r="F1267" s="12">
        <v>20600</v>
      </c>
      <c r="G1267" s="12">
        <v>20600</v>
      </c>
      <c r="H1267" s="11" t="str">
        <f t="shared" si="44"/>
        <v>平成4年12月5日</v>
      </c>
      <c r="I1267" s="22">
        <f t="shared" si="43"/>
        <v>33943</v>
      </c>
      <c r="J1267" s="1" t="str">
        <f>"00741240"</f>
        <v>00741240</v>
      </c>
      <c r="K1267" s="1" t="str">
        <f>"１１４３　　　　　　　　　　　　　　　　"</f>
        <v>１１４３　　　　　　　　　　　　　　　　</v>
      </c>
      <c r="L1267" s="1"/>
    </row>
    <row r="1268" spans="1:12" ht="18" customHeight="1" x14ac:dyDescent="0.15">
      <c r="A1268" s="11">
        <v>2425</v>
      </c>
      <c r="B1268" s="11" t="s">
        <v>53</v>
      </c>
      <c r="C1268" s="11" t="s">
        <v>156</v>
      </c>
      <c r="D1268" s="11">
        <v>1</v>
      </c>
      <c r="E1268" s="11" t="s">
        <v>4</v>
      </c>
      <c r="F1268" s="12">
        <v>20600</v>
      </c>
      <c r="G1268" s="12">
        <v>20600</v>
      </c>
      <c r="H1268" s="11" t="str">
        <f t="shared" si="44"/>
        <v>平成4年12月5日</v>
      </c>
      <c r="I1268" s="22">
        <f t="shared" si="43"/>
        <v>33943</v>
      </c>
      <c r="J1268" s="1" t="str">
        <f>"00741242"</f>
        <v>00741242</v>
      </c>
      <c r="K1268" s="1" t="str">
        <f>"１１４４　　　　　　　　　　　　　　　　"</f>
        <v>１１４４　　　　　　　　　　　　　　　　</v>
      </c>
      <c r="L1268" s="1"/>
    </row>
    <row r="1269" spans="1:12" ht="18" customHeight="1" x14ac:dyDescent="0.15">
      <c r="A1269" s="11">
        <v>2426</v>
      </c>
      <c r="B1269" s="11" t="s">
        <v>53</v>
      </c>
      <c r="C1269" s="11" t="s">
        <v>156</v>
      </c>
      <c r="D1269" s="11">
        <v>1</v>
      </c>
      <c r="E1269" s="11" t="s">
        <v>4</v>
      </c>
      <c r="F1269" s="12">
        <v>20600</v>
      </c>
      <c r="G1269" s="12">
        <v>20600</v>
      </c>
      <c r="H1269" s="11" t="str">
        <f t="shared" si="44"/>
        <v>平成4年12月5日</v>
      </c>
      <c r="I1269" s="22">
        <f t="shared" si="43"/>
        <v>33943</v>
      </c>
      <c r="J1269" s="1" t="str">
        <f>"00741244"</f>
        <v>00741244</v>
      </c>
      <c r="K1269" s="1" t="str">
        <f>"１１４５　　　　　　　　　　　　　　　　"</f>
        <v>１１４５　　　　　　　　　　　　　　　　</v>
      </c>
      <c r="L1269" s="1"/>
    </row>
    <row r="1270" spans="1:12" ht="18" customHeight="1" x14ac:dyDescent="0.15">
      <c r="A1270" s="11">
        <v>2427</v>
      </c>
      <c r="B1270" s="11" t="s">
        <v>53</v>
      </c>
      <c r="C1270" s="11" t="s">
        <v>156</v>
      </c>
      <c r="D1270" s="11">
        <v>1</v>
      </c>
      <c r="E1270" s="11" t="s">
        <v>4</v>
      </c>
      <c r="F1270" s="12">
        <v>20600</v>
      </c>
      <c r="G1270" s="12">
        <v>20600</v>
      </c>
      <c r="H1270" s="11" t="str">
        <f t="shared" si="44"/>
        <v>平成4年12月5日</v>
      </c>
      <c r="I1270" s="22">
        <f t="shared" si="43"/>
        <v>33943</v>
      </c>
      <c r="J1270" s="1" t="str">
        <f>"00741246"</f>
        <v>00741246</v>
      </c>
      <c r="K1270" s="1" t="str">
        <f>"１１４６　　　　　　　　　　　　　　　　"</f>
        <v>１１４６　　　　　　　　　　　　　　　　</v>
      </c>
      <c r="L1270" s="1"/>
    </row>
    <row r="1271" spans="1:12" ht="18" customHeight="1" x14ac:dyDescent="0.15">
      <c r="A1271" s="11">
        <v>2428</v>
      </c>
      <c r="B1271" s="11" t="s">
        <v>53</v>
      </c>
      <c r="C1271" s="11" t="s">
        <v>156</v>
      </c>
      <c r="D1271" s="11">
        <v>1</v>
      </c>
      <c r="E1271" s="11" t="s">
        <v>4</v>
      </c>
      <c r="F1271" s="12">
        <v>20600</v>
      </c>
      <c r="G1271" s="12">
        <v>20600</v>
      </c>
      <c r="H1271" s="11" t="str">
        <f t="shared" si="44"/>
        <v>平成4年12月5日</v>
      </c>
      <c r="I1271" s="22">
        <f t="shared" si="43"/>
        <v>33943</v>
      </c>
      <c r="J1271" s="1" t="str">
        <f>"00741248"</f>
        <v>00741248</v>
      </c>
      <c r="K1271" s="1" t="str">
        <f>"１１４７　　　　　　　　　　　　　　　　"</f>
        <v>１１４７　　　　　　　　　　　　　　　　</v>
      </c>
      <c r="L1271" s="1"/>
    </row>
    <row r="1272" spans="1:12" ht="18" customHeight="1" x14ac:dyDescent="0.15">
      <c r="A1272" s="11">
        <v>2429</v>
      </c>
      <c r="B1272" s="11" t="s">
        <v>53</v>
      </c>
      <c r="C1272" s="11" t="s">
        <v>156</v>
      </c>
      <c r="D1272" s="11">
        <v>1</v>
      </c>
      <c r="E1272" s="11" t="s">
        <v>4</v>
      </c>
      <c r="F1272" s="12">
        <v>20600</v>
      </c>
      <c r="G1272" s="12">
        <v>20600</v>
      </c>
      <c r="H1272" s="11" t="str">
        <f t="shared" si="44"/>
        <v>平成4年12月5日</v>
      </c>
      <c r="I1272" s="22">
        <f t="shared" si="43"/>
        <v>33943</v>
      </c>
      <c r="J1272" s="1" t="str">
        <f>"00741250"</f>
        <v>00741250</v>
      </c>
      <c r="K1272" s="1" t="str">
        <f>"１１４８　　　　　　　　　　　　　　　　"</f>
        <v>１１４８　　　　　　　　　　　　　　　　</v>
      </c>
      <c r="L1272" s="1"/>
    </row>
    <row r="1273" spans="1:12" ht="18" customHeight="1" x14ac:dyDescent="0.15">
      <c r="A1273" s="11">
        <v>2430</v>
      </c>
      <c r="B1273" s="11" t="s">
        <v>53</v>
      </c>
      <c r="C1273" s="11" t="s">
        <v>156</v>
      </c>
      <c r="D1273" s="11">
        <v>1</v>
      </c>
      <c r="E1273" s="11" t="s">
        <v>4</v>
      </c>
      <c r="F1273" s="12">
        <v>20600</v>
      </c>
      <c r="G1273" s="12">
        <v>20600</v>
      </c>
      <c r="H1273" s="11" t="str">
        <f t="shared" si="44"/>
        <v>平成4年12月5日</v>
      </c>
      <c r="I1273" s="22">
        <f t="shared" si="43"/>
        <v>33943</v>
      </c>
      <c r="J1273" s="1" t="str">
        <f>"00741252"</f>
        <v>00741252</v>
      </c>
      <c r="K1273" s="1" t="str">
        <f>"１１４９　　　　　　　　　　　　　　　　"</f>
        <v>１１４９　　　　　　　　　　　　　　　　</v>
      </c>
      <c r="L1273" s="1"/>
    </row>
    <row r="1274" spans="1:12" ht="18" customHeight="1" x14ac:dyDescent="0.15">
      <c r="A1274" s="11">
        <v>2431</v>
      </c>
      <c r="B1274" s="11" t="s">
        <v>53</v>
      </c>
      <c r="C1274" s="11" t="s">
        <v>156</v>
      </c>
      <c r="D1274" s="11">
        <v>1</v>
      </c>
      <c r="E1274" s="11" t="s">
        <v>4</v>
      </c>
      <c r="F1274" s="12">
        <v>20600</v>
      </c>
      <c r="G1274" s="12">
        <v>20600</v>
      </c>
      <c r="H1274" s="11" t="str">
        <f t="shared" si="44"/>
        <v>平成4年12月5日</v>
      </c>
      <c r="I1274" s="22">
        <f t="shared" si="43"/>
        <v>33943</v>
      </c>
      <c r="J1274" s="1" t="str">
        <f>"00741254"</f>
        <v>00741254</v>
      </c>
      <c r="K1274" s="1" t="str">
        <f>"１１５０　　　　　　　　　　　　　　　　"</f>
        <v>１１５０　　　　　　　　　　　　　　　　</v>
      </c>
      <c r="L1274" s="1"/>
    </row>
    <row r="1275" spans="1:12" ht="18" customHeight="1" x14ac:dyDescent="0.15">
      <c r="A1275" s="11">
        <v>2432</v>
      </c>
      <c r="B1275" s="11" t="s">
        <v>53</v>
      </c>
      <c r="C1275" s="11" t="s">
        <v>156</v>
      </c>
      <c r="D1275" s="11">
        <v>1</v>
      </c>
      <c r="E1275" s="11" t="s">
        <v>4</v>
      </c>
      <c r="F1275" s="12">
        <v>20600</v>
      </c>
      <c r="G1275" s="12">
        <v>20600</v>
      </c>
      <c r="H1275" s="11" t="str">
        <f t="shared" si="44"/>
        <v>平成4年12月5日</v>
      </c>
      <c r="I1275" s="22">
        <f t="shared" si="43"/>
        <v>33943</v>
      </c>
      <c r="J1275" s="1" t="str">
        <f>"00741256"</f>
        <v>00741256</v>
      </c>
      <c r="K1275" s="1" t="str">
        <f>"１１５１　　　　　　　　　　　　　　　　"</f>
        <v>１１５１　　　　　　　　　　　　　　　　</v>
      </c>
      <c r="L1275" s="1"/>
    </row>
    <row r="1276" spans="1:12" ht="18" customHeight="1" x14ac:dyDescent="0.15">
      <c r="A1276" s="11">
        <v>2433</v>
      </c>
      <c r="B1276" s="11" t="s">
        <v>53</v>
      </c>
      <c r="C1276" s="11" t="s">
        <v>156</v>
      </c>
      <c r="D1276" s="11">
        <v>1</v>
      </c>
      <c r="E1276" s="11" t="s">
        <v>4</v>
      </c>
      <c r="F1276" s="12">
        <v>20600</v>
      </c>
      <c r="G1276" s="12">
        <v>20600</v>
      </c>
      <c r="H1276" s="11" t="str">
        <f t="shared" si="44"/>
        <v>平成4年12月5日</v>
      </c>
      <c r="I1276" s="22">
        <f t="shared" si="43"/>
        <v>33943</v>
      </c>
      <c r="J1276" s="1" t="str">
        <f>"00741258"</f>
        <v>00741258</v>
      </c>
      <c r="K1276" s="1" t="str">
        <f>"１１５２　　　　　　　　　　　　　　　　"</f>
        <v>１１５２　　　　　　　　　　　　　　　　</v>
      </c>
      <c r="L1276" s="1"/>
    </row>
    <row r="1277" spans="1:12" ht="18" customHeight="1" x14ac:dyDescent="0.15">
      <c r="A1277" s="11">
        <v>2434</v>
      </c>
      <c r="B1277" s="11" t="s">
        <v>53</v>
      </c>
      <c r="C1277" s="11" t="s">
        <v>156</v>
      </c>
      <c r="D1277" s="11">
        <v>1</v>
      </c>
      <c r="E1277" s="11" t="s">
        <v>4</v>
      </c>
      <c r="F1277" s="12">
        <v>20600</v>
      </c>
      <c r="G1277" s="12">
        <v>20600</v>
      </c>
      <c r="H1277" s="11" t="str">
        <f t="shared" si="44"/>
        <v>平成4年12月5日</v>
      </c>
      <c r="I1277" s="22">
        <f t="shared" si="43"/>
        <v>33943</v>
      </c>
      <c r="J1277" s="1" t="str">
        <f>"00741260"</f>
        <v>00741260</v>
      </c>
      <c r="K1277" s="1" t="str">
        <f>"１１５３　　　　　　　　　　　　　　　　"</f>
        <v>１１５３　　　　　　　　　　　　　　　　</v>
      </c>
      <c r="L1277" s="1"/>
    </row>
    <row r="1278" spans="1:12" ht="18" customHeight="1" x14ac:dyDescent="0.15">
      <c r="A1278" s="11">
        <v>2435</v>
      </c>
      <c r="B1278" s="11" t="s">
        <v>53</v>
      </c>
      <c r="C1278" s="11" t="s">
        <v>156</v>
      </c>
      <c r="D1278" s="11">
        <v>1</v>
      </c>
      <c r="E1278" s="11" t="s">
        <v>4</v>
      </c>
      <c r="F1278" s="12">
        <v>20600</v>
      </c>
      <c r="G1278" s="12">
        <v>20600</v>
      </c>
      <c r="H1278" s="11" t="str">
        <f t="shared" si="44"/>
        <v>平成4年12月5日</v>
      </c>
      <c r="I1278" s="22">
        <f t="shared" si="43"/>
        <v>33943</v>
      </c>
      <c r="J1278" s="1" t="str">
        <f>"00741263"</f>
        <v>00741263</v>
      </c>
      <c r="K1278" s="1" t="str">
        <f>"１１５４　　　　　　　　　　　　　　　　"</f>
        <v>１１５４　　　　　　　　　　　　　　　　</v>
      </c>
      <c r="L1278" s="1"/>
    </row>
    <row r="1279" spans="1:12" ht="18" customHeight="1" x14ac:dyDescent="0.15">
      <c r="A1279" s="11">
        <v>2436</v>
      </c>
      <c r="B1279" s="11" t="s">
        <v>53</v>
      </c>
      <c r="C1279" s="11" t="s">
        <v>156</v>
      </c>
      <c r="D1279" s="11">
        <v>1</v>
      </c>
      <c r="E1279" s="11" t="s">
        <v>4</v>
      </c>
      <c r="F1279" s="12">
        <v>20600</v>
      </c>
      <c r="G1279" s="12">
        <v>20600</v>
      </c>
      <c r="H1279" s="11" t="str">
        <f t="shared" si="44"/>
        <v>平成4年12月5日</v>
      </c>
      <c r="I1279" s="22">
        <f t="shared" si="43"/>
        <v>33943</v>
      </c>
      <c r="J1279" s="1" t="str">
        <f>"00741265"</f>
        <v>00741265</v>
      </c>
      <c r="K1279" s="1" t="str">
        <f>"１１５５　　　　　　　　　　　　　　　　"</f>
        <v>１１５５　　　　　　　　　　　　　　　　</v>
      </c>
      <c r="L1279" s="1"/>
    </row>
    <row r="1280" spans="1:12" ht="18" customHeight="1" x14ac:dyDescent="0.15">
      <c r="A1280" s="11">
        <v>2437</v>
      </c>
      <c r="B1280" s="11" t="s">
        <v>53</v>
      </c>
      <c r="C1280" s="11" t="s">
        <v>156</v>
      </c>
      <c r="D1280" s="11">
        <v>1</v>
      </c>
      <c r="E1280" s="11" t="s">
        <v>4</v>
      </c>
      <c r="F1280" s="12">
        <v>20600</v>
      </c>
      <c r="G1280" s="12">
        <v>20600</v>
      </c>
      <c r="H1280" s="11" t="str">
        <f t="shared" si="44"/>
        <v>平成4年12月5日</v>
      </c>
      <c r="I1280" s="22">
        <f t="shared" si="43"/>
        <v>33943</v>
      </c>
      <c r="J1280" s="1" t="str">
        <f>"00741267"</f>
        <v>00741267</v>
      </c>
      <c r="K1280" s="1" t="str">
        <f>"１１５６　　　　　　　　　　　　　　　　"</f>
        <v>１１５６　　　　　　　　　　　　　　　　</v>
      </c>
      <c r="L1280" s="1"/>
    </row>
    <row r="1281" spans="1:12" ht="18" customHeight="1" x14ac:dyDescent="0.15">
      <c r="A1281" s="11">
        <v>2438</v>
      </c>
      <c r="B1281" s="11" t="s">
        <v>53</v>
      </c>
      <c r="C1281" s="11" t="s">
        <v>156</v>
      </c>
      <c r="D1281" s="11">
        <v>1</v>
      </c>
      <c r="E1281" s="11" t="s">
        <v>4</v>
      </c>
      <c r="F1281" s="12">
        <v>20600</v>
      </c>
      <c r="G1281" s="12">
        <v>20600</v>
      </c>
      <c r="H1281" s="11" t="str">
        <f t="shared" si="44"/>
        <v>平成4年12月5日</v>
      </c>
      <c r="I1281" s="22">
        <f t="shared" si="43"/>
        <v>33943</v>
      </c>
      <c r="J1281" s="1" t="str">
        <f>"00741269"</f>
        <v>00741269</v>
      </c>
      <c r="K1281" s="1" t="str">
        <f>"１１５７　　　　　　　　　　　　　　　　"</f>
        <v>１１５７　　　　　　　　　　　　　　　　</v>
      </c>
      <c r="L1281" s="1"/>
    </row>
    <row r="1282" spans="1:12" ht="18" customHeight="1" x14ac:dyDescent="0.15">
      <c r="A1282" s="11">
        <v>2439</v>
      </c>
      <c r="B1282" s="11" t="s">
        <v>53</v>
      </c>
      <c r="C1282" s="11" t="s">
        <v>156</v>
      </c>
      <c r="D1282" s="11">
        <v>1</v>
      </c>
      <c r="E1282" s="11" t="s">
        <v>4</v>
      </c>
      <c r="F1282" s="12">
        <v>20600</v>
      </c>
      <c r="G1282" s="12">
        <v>20600</v>
      </c>
      <c r="H1282" s="11" t="str">
        <f t="shared" si="44"/>
        <v>平成4年12月5日</v>
      </c>
      <c r="I1282" s="22">
        <f t="shared" si="43"/>
        <v>33943</v>
      </c>
      <c r="J1282" s="1" t="str">
        <f>"00741271"</f>
        <v>00741271</v>
      </c>
      <c r="K1282" s="1" t="str">
        <f>"１１５８　　　　　　　　　　　　　　　　"</f>
        <v>１１５８　　　　　　　　　　　　　　　　</v>
      </c>
      <c r="L1282" s="1"/>
    </row>
    <row r="1283" spans="1:12" ht="18" customHeight="1" x14ac:dyDescent="0.15">
      <c r="A1283" s="11">
        <v>2440</v>
      </c>
      <c r="B1283" s="11" t="s">
        <v>53</v>
      </c>
      <c r="C1283" s="11" t="s">
        <v>156</v>
      </c>
      <c r="D1283" s="11">
        <v>1</v>
      </c>
      <c r="E1283" s="11" t="s">
        <v>4</v>
      </c>
      <c r="F1283" s="12">
        <v>20600</v>
      </c>
      <c r="G1283" s="12">
        <v>20600</v>
      </c>
      <c r="H1283" s="11" t="str">
        <f t="shared" si="44"/>
        <v>平成4年12月5日</v>
      </c>
      <c r="I1283" s="22">
        <f t="shared" si="43"/>
        <v>33943</v>
      </c>
      <c r="J1283" s="1" t="str">
        <f>"00741273"</f>
        <v>00741273</v>
      </c>
      <c r="K1283" s="1" t="str">
        <f>"１１５９　　　　　　　　　　　　　　　　"</f>
        <v>１１５９　　　　　　　　　　　　　　　　</v>
      </c>
      <c r="L1283" s="1"/>
    </row>
    <row r="1284" spans="1:12" ht="18" customHeight="1" x14ac:dyDescent="0.15">
      <c r="A1284" s="11">
        <v>2441</v>
      </c>
      <c r="B1284" s="11" t="s">
        <v>53</v>
      </c>
      <c r="C1284" s="11" t="s">
        <v>156</v>
      </c>
      <c r="D1284" s="11">
        <v>1</v>
      </c>
      <c r="E1284" s="11" t="s">
        <v>4</v>
      </c>
      <c r="F1284" s="12">
        <v>20600</v>
      </c>
      <c r="G1284" s="12">
        <v>20600</v>
      </c>
      <c r="H1284" s="11" t="str">
        <f t="shared" si="44"/>
        <v>平成4年12月5日</v>
      </c>
      <c r="I1284" s="22">
        <f t="shared" si="43"/>
        <v>33943</v>
      </c>
      <c r="J1284" s="1" t="str">
        <f>"00741275"</f>
        <v>00741275</v>
      </c>
      <c r="K1284" s="1" t="str">
        <f>"１１６０　　　　　　　　　　　　　　　　"</f>
        <v>１１６０　　　　　　　　　　　　　　　　</v>
      </c>
      <c r="L1284" s="1"/>
    </row>
    <row r="1285" spans="1:12" ht="18" customHeight="1" x14ac:dyDescent="0.15">
      <c r="A1285" s="11">
        <v>2442</v>
      </c>
      <c r="B1285" s="11" t="s">
        <v>53</v>
      </c>
      <c r="C1285" s="11" t="s">
        <v>156</v>
      </c>
      <c r="D1285" s="11">
        <v>1</v>
      </c>
      <c r="E1285" s="11" t="s">
        <v>4</v>
      </c>
      <c r="F1285" s="12">
        <v>20600</v>
      </c>
      <c r="G1285" s="12">
        <v>20600</v>
      </c>
      <c r="H1285" s="11" t="str">
        <f t="shared" si="44"/>
        <v>平成4年12月5日</v>
      </c>
      <c r="I1285" s="22">
        <f t="shared" si="43"/>
        <v>33943</v>
      </c>
      <c r="J1285" s="1" t="str">
        <f>"00741277"</f>
        <v>00741277</v>
      </c>
      <c r="K1285" s="1" t="str">
        <f>"１１６１　　　　　　　　　　　　　　　　"</f>
        <v>１１６１　　　　　　　　　　　　　　　　</v>
      </c>
      <c r="L1285" s="1"/>
    </row>
    <row r="1286" spans="1:12" ht="18" customHeight="1" x14ac:dyDescent="0.15">
      <c r="A1286" s="11">
        <v>2443</v>
      </c>
      <c r="B1286" s="11" t="s">
        <v>53</v>
      </c>
      <c r="C1286" s="11" t="s">
        <v>156</v>
      </c>
      <c r="D1286" s="11">
        <v>1</v>
      </c>
      <c r="E1286" s="11" t="s">
        <v>4</v>
      </c>
      <c r="F1286" s="12">
        <v>20600</v>
      </c>
      <c r="G1286" s="12">
        <v>20600</v>
      </c>
      <c r="H1286" s="11" t="str">
        <f t="shared" si="44"/>
        <v>平成4年12月5日</v>
      </c>
      <c r="I1286" s="22">
        <f t="shared" si="43"/>
        <v>33943</v>
      </c>
      <c r="J1286" s="1" t="str">
        <f>"00741279"</f>
        <v>00741279</v>
      </c>
      <c r="K1286" s="1" t="str">
        <f>"１１６２　　　　　　　　　　　　　　　　"</f>
        <v>１１６２　　　　　　　　　　　　　　　　</v>
      </c>
      <c r="L1286" s="1"/>
    </row>
    <row r="1287" spans="1:12" ht="18" customHeight="1" x14ac:dyDescent="0.15">
      <c r="A1287" s="11">
        <v>2444</v>
      </c>
      <c r="B1287" s="11" t="s">
        <v>53</v>
      </c>
      <c r="C1287" s="11" t="s">
        <v>156</v>
      </c>
      <c r="D1287" s="11">
        <v>1</v>
      </c>
      <c r="E1287" s="11" t="s">
        <v>4</v>
      </c>
      <c r="F1287" s="12">
        <v>20600</v>
      </c>
      <c r="G1287" s="12">
        <v>20600</v>
      </c>
      <c r="H1287" s="11" t="str">
        <f t="shared" si="44"/>
        <v>平成4年12月5日</v>
      </c>
      <c r="I1287" s="22">
        <f t="shared" si="43"/>
        <v>33943</v>
      </c>
      <c r="J1287" s="1" t="str">
        <f>"00741281"</f>
        <v>00741281</v>
      </c>
      <c r="K1287" s="1" t="str">
        <f>"１１６３　　　　　　　　　　　　　　　　"</f>
        <v>１１６３　　　　　　　　　　　　　　　　</v>
      </c>
      <c r="L1287" s="1"/>
    </row>
    <row r="1288" spans="1:12" ht="18" customHeight="1" x14ac:dyDescent="0.15">
      <c r="A1288" s="11">
        <v>2445</v>
      </c>
      <c r="B1288" s="11" t="s">
        <v>53</v>
      </c>
      <c r="C1288" s="11" t="s">
        <v>156</v>
      </c>
      <c r="D1288" s="11">
        <v>1</v>
      </c>
      <c r="E1288" s="11" t="s">
        <v>4</v>
      </c>
      <c r="F1288" s="12">
        <v>20600</v>
      </c>
      <c r="G1288" s="12">
        <v>20600</v>
      </c>
      <c r="H1288" s="11" t="str">
        <f t="shared" si="44"/>
        <v>平成4年12月5日</v>
      </c>
      <c r="I1288" s="22">
        <f t="shared" si="43"/>
        <v>33943</v>
      </c>
      <c r="J1288" s="1" t="str">
        <f>"00741283"</f>
        <v>00741283</v>
      </c>
      <c r="K1288" s="1" t="str">
        <f>"１１６４　　　　　　　　　　　　　　　　"</f>
        <v>１１６４　　　　　　　　　　　　　　　　</v>
      </c>
      <c r="L1288" s="1"/>
    </row>
    <row r="1289" spans="1:12" ht="18" customHeight="1" x14ac:dyDescent="0.15">
      <c r="A1289" s="11">
        <v>2446</v>
      </c>
      <c r="B1289" s="11" t="s">
        <v>53</v>
      </c>
      <c r="C1289" s="11" t="s">
        <v>156</v>
      </c>
      <c r="D1289" s="11">
        <v>1</v>
      </c>
      <c r="E1289" s="11" t="s">
        <v>4</v>
      </c>
      <c r="F1289" s="12">
        <v>20600</v>
      </c>
      <c r="G1289" s="12">
        <v>20600</v>
      </c>
      <c r="H1289" s="11" t="str">
        <f t="shared" si="44"/>
        <v>平成4年12月5日</v>
      </c>
      <c r="I1289" s="22">
        <f t="shared" si="43"/>
        <v>33943</v>
      </c>
      <c r="J1289" s="1" t="str">
        <f>"00741285"</f>
        <v>00741285</v>
      </c>
      <c r="K1289" s="1" t="str">
        <f>"１１６５　　　　　　　　　　　　　　　　"</f>
        <v>１１６５　　　　　　　　　　　　　　　　</v>
      </c>
      <c r="L1289" s="1"/>
    </row>
    <row r="1290" spans="1:12" ht="18" customHeight="1" x14ac:dyDescent="0.15">
      <c r="A1290" s="11">
        <v>2447</v>
      </c>
      <c r="B1290" s="11" t="s">
        <v>53</v>
      </c>
      <c r="C1290" s="11" t="s">
        <v>156</v>
      </c>
      <c r="D1290" s="11">
        <v>1</v>
      </c>
      <c r="E1290" s="11" t="s">
        <v>4</v>
      </c>
      <c r="F1290" s="12">
        <v>20600</v>
      </c>
      <c r="G1290" s="12">
        <v>20600</v>
      </c>
      <c r="H1290" s="11" t="str">
        <f t="shared" si="44"/>
        <v>平成4年12月5日</v>
      </c>
      <c r="I1290" s="22">
        <f t="shared" si="43"/>
        <v>33943</v>
      </c>
      <c r="J1290" s="1" t="str">
        <f>"00741287"</f>
        <v>00741287</v>
      </c>
      <c r="K1290" s="1" t="str">
        <f>"１１６６　　　　　　　　　　　　　　　　"</f>
        <v>１１６６　　　　　　　　　　　　　　　　</v>
      </c>
      <c r="L1290" s="1"/>
    </row>
    <row r="1291" spans="1:12" ht="18" customHeight="1" x14ac:dyDescent="0.15">
      <c r="A1291" s="11">
        <v>2448</v>
      </c>
      <c r="B1291" s="11" t="s">
        <v>53</v>
      </c>
      <c r="C1291" s="11" t="s">
        <v>156</v>
      </c>
      <c r="D1291" s="11">
        <v>1</v>
      </c>
      <c r="E1291" s="11" t="s">
        <v>4</v>
      </c>
      <c r="F1291" s="12">
        <v>20600</v>
      </c>
      <c r="G1291" s="12">
        <v>20600</v>
      </c>
      <c r="H1291" s="11" t="str">
        <f t="shared" si="44"/>
        <v>平成4年12月5日</v>
      </c>
      <c r="I1291" s="22">
        <f t="shared" si="43"/>
        <v>33943</v>
      </c>
      <c r="J1291" s="1" t="str">
        <f>"00741289"</f>
        <v>00741289</v>
      </c>
      <c r="K1291" s="1" t="str">
        <f>"１１６７　　　　　　　　　　　　　　　　"</f>
        <v>１１６７　　　　　　　　　　　　　　　　</v>
      </c>
      <c r="L1291" s="1"/>
    </row>
    <row r="1292" spans="1:12" ht="18" customHeight="1" x14ac:dyDescent="0.15">
      <c r="A1292" s="11">
        <v>2449</v>
      </c>
      <c r="B1292" s="11" t="s">
        <v>53</v>
      </c>
      <c r="C1292" s="11" t="s">
        <v>156</v>
      </c>
      <c r="D1292" s="11">
        <v>1</v>
      </c>
      <c r="E1292" s="11" t="s">
        <v>4</v>
      </c>
      <c r="F1292" s="12">
        <v>20600</v>
      </c>
      <c r="G1292" s="12">
        <v>20600</v>
      </c>
      <c r="H1292" s="11" t="str">
        <f t="shared" si="44"/>
        <v>平成4年12月5日</v>
      </c>
      <c r="I1292" s="22">
        <f t="shared" si="43"/>
        <v>33943</v>
      </c>
      <c r="J1292" s="1" t="str">
        <f>"00741291"</f>
        <v>00741291</v>
      </c>
      <c r="K1292" s="1" t="str">
        <f>"１１６８　　　　　　　　　　　　　　　　"</f>
        <v>１１６８　　　　　　　　　　　　　　　　</v>
      </c>
      <c r="L1292" s="1"/>
    </row>
    <row r="1293" spans="1:12" ht="18" customHeight="1" x14ac:dyDescent="0.15">
      <c r="A1293" s="11">
        <v>2450</v>
      </c>
      <c r="B1293" s="11" t="s">
        <v>53</v>
      </c>
      <c r="C1293" s="11" t="s">
        <v>156</v>
      </c>
      <c r="D1293" s="11">
        <v>1</v>
      </c>
      <c r="E1293" s="11" t="s">
        <v>4</v>
      </c>
      <c r="F1293" s="12">
        <v>20600</v>
      </c>
      <c r="G1293" s="12">
        <v>20600</v>
      </c>
      <c r="H1293" s="11" t="str">
        <f t="shared" si="44"/>
        <v>平成4年12月5日</v>
      </c>
      <c r="I1293" s="22">
        <f t="shared" si="43"/>
        <v>33943</v>
      </c>
      <c r="J1293" s="1" t="str">
        <f>"00741293"</f>
        <v>00741293</v>
      </c>
      <c r="K1293" s="1" t="str">
        <f>"１１６９　　　　　　　　　　　　　　　　"</f>
        <v>１１６９　　　　　　　　　　　　　　　　</v>
      </c>
      <c r="L1293" s="1"/>
    </row>
    <row r="1294" spans="1:12" ht="18" customHeight="1" x14ac:dyDescent="0.15">
      <c r="A1294" s="11">
        <v>2451</v>
      </c>
      <c r="B1294" s="11" t="s">
        <v>53</v>
      </c>
      <c r="C1294" s="11" t="s">
        <v>156</v>
      </c>
      <c r="D1294" s="11">
        <v>1</v>
      </c>
      <c r="E1294" s="11" t="s">
        <v>4</v>
      </c>
      <c r="F1294" s="12">
        <v>20600</v>
      </c>
      <c r="G1294" s="12">
        <v>20600</v>
      </c>
      <c r="H1294" s="11" t="str">
        <f t="shared" si="44"/>
        <v>平成4年12月5日</v>
      </c>
      <c r="I1294" s="22">
        <f t="shared" si="43"/>
        <v>33943</v>
      </c>
      <c r="J1294" s="1" t="str">
        <f>"00741295"</f>
        <v>00741295</v>
      </c>
      <c r="K1294" s="1" t="str">
        <f>"１１７０　　　　　　　　　　　　　　　　"</f>
        <v>１１７０　　　　　　　　　　　　　　　　</v>
      </c>
      <c r="L1294" s="1"/>
    </row>
    <row r="1295" spans="1:12" ht="18" customHeight="1" x14ac:dyDescent="0.15">
      <c r="A1295" s="11">
        <v>2452</v>
      </c>
      <c r="B1295" s="11" t="s">
        <v>53</v>
      </c>
      <c r="C1295" s="11" t="s">
        <v>156</v>
      </c>
      <c r="D1295" s="11">
        <v>1</v>
      </c>
      <c r="E1295" s="11" t="s">
        <v>4</v>
      </c>
      <c r="F1295" s="12">
        <v>20600</v>
      </c>
      <c r="G1295" s="12">
        <v>20600</v>
      </c>
      <c r="H1295" s="11" t="str">
        <f t="shared" si="44"/>
        <v>平成4年12月5日</v>
      </c>
      <c r="I1295" s="22">
        <f t="shared" si="43"/>
        <v>33943</v>
      </c>
      <c r="J1295" s="1" t="str">
        <f>"00741297"</f>
        <v>00741297</v>
      </c>
      <c r="K1295" s="1" t="str">
        <f>"１１７１　　　　　　　　　　　　　　　　"</f>
        <v>１１７１　　　　　　　　　　　　　　　　</v>
      </c>
      <c r="L1295" s="1"/>
    </row>
    <row r="1296" spans="1:12" ht="18" customHeight="1" x14ac:dyDescent="0.15">
      <c r="A1296" s="11">
        <v>2453</v>
      </c>
      <c r="B1296" s="11" t="s">
        <v>53</v>
      </c>
      <c r="C1296" s="11" t="s">
        <v>156</v>
      </c>
      <c r="D1296" s="11">
        <v>1</v>
      </c>
      <c r="E1296" s="11" t="s">
        <v>4</v>
      </c>
      <c r="F1296" s="12">
        <v>20600</v>
      </c>
      <c r="G1296" s="12">
        <v>20600</v>
      </c>
      <c r="H1296" s="11" t="str">
        <f t="shared" si="44"/>
        <v>平成4年12月5日</v>
      </c>
      <c r="I1296" s="22">
        <f t="shared" si="43"/>
        <v>33943</v>
      </c>
      <c r="J1296" s="1" t="str">
        <f>"00741299"</f>
        <v>00741299</v>
      </c>
      <c r="K1296" s="1" t="str">
        <f>"１１７２　　　　　　　　　　　　　　　　"</f>
        <v>１１７２　　　　　　　　　　　　　　　　</v>
      </c>
      <c r="L1296" s="1"/>
    </row>
    <row r="1297" spans="1:12" ht="18" customHeight="1" x14ac:dyDescent="0.15">
      <c r="A1297" s="11">
        <v>2454</v>
      </c>
      <c r="B1297" s="11" t="s">
        <v>53</v>
      </c>
      <c r="C1297" s="11" t="s">
        <v>156</v>
      </c>
      <c r="D1297" s="11">
        <v>1</v>
      </c>
      <c r="E1297" s="11" t="s">
        <v>4</v>
      </c>
      <c r="F1297" s="12">
        <v>20600</v>
      </c>
      <c r="G1297" s="12">
        <v>20600</v>
      </c>
      <c r="H1297" s="11" t="str">
        <f t="shared" si="44"/>
        <v>平成4年12月5日</v>
      </c>
      <c r="I1297" s="22">
        <f t="shared" si="43"/>
        <v>33943</v>
      </c>
      <c r="J1297" s="1" t="str">
        <f>"00741301"</f>
        <v>00741301</v>
      </c>
      <c r="K1297" s="1" t="str">
        <f>"１１７３　　　　　　　　　　　　　　　　"</f>
        <v>１１７３　　　　　　　　　　　　　　　　</v>
      </c>
      <c r="L1297" s="1"/>
    </row>
    <row r="1298" spans="1:12" ht="18" customHeight="1" x14ac:dyDescent="0.15">
      <c r="A1298" s="11">
        <v>2455</v>
      </c>
      <c r="B1298" s="11" t="s">
        <v>53</v>
      </c>
      <c r="C1298" s="11" t="s">
        <v>156</v>
      </c>
      <c r="D1298" s="11">
        <v>1</v>
      </c>
      <c r="E1298" s="11" t="s">
        <v>4</v>
      </c>
      <c r="F1298" s="12">
        <v>20600</v>
      </c>
      <c r="G1298" s="12">
        <v>20600</v>
      </c>
      <c r="H1298" s="11" t="str">
        <f t="shared" si="44"/>
        <v>平成4年12月5日</v>
      </c>
      <c r="I1298" s="22">
        <f t="shared" ref="I1298:I1361" si="45">DATEVALUE(H1298)</f>
        <v>33943</v>
      </c>
      <c r="J1298" s="1" t="str">
        <f>"00741303"</f>
        <v>00741303</v>
      </c>
      <c r="K1298" s="1" t="str">
        <f>"１１７４　　　　　　　　　　　　　　　　"</f>
        <v>１１７４　　　　　　　　　　　　　　　　</v>
      </c>
      <c r="L1298" s="1"/>
    </row>
    <row r="1299" spans="1:12" ht="18" customHeight="1" x14ac:dyDescent="0.15">
      <c r="A1299" s="11">
        <v>2456</v>
      </c>
      <c r="B1299" s="11" t="s">
        <v>53</v>
      </c>
      <c r="C1299" s="11" t="s">
        <v>156</v>
      </c>
      <c r="D1299" s="11">
        <v>1</v>
      </c>
      <c r="E1299" s="11" t="s">
        <v>4</v>
      </c>
      <c r="F1299" s="12">
        <v>20600</v>
      </c>
      <c r="G1299" s="12">
        <v>20600</v>
      </c>
      <c r="H1299" s="11" t="str">
        <f t="shared" si="44"/>
        <v>平成4年12月5日</v>
      </c>
      <c r="I1299" s="22">
        <f t="shared" si="45"/>
        <v>33943</v>
      </c>
      <c r="J1299" s="1" t="str">
        <f>"00741305"</f>
        <v>00741305</v>
      </c>
      <c r="K1299" s="1" t="str">
        <f>"１１７５　　　　　　　　　　　　　　　　"</f>
        <v>１１７５　　　　　　　　　　　　　　　　</v>
      </c>
      <c r="L1299" s="1"/>
    </row>
    <row r="1300" spans="1:12" ht="18" customHeight="1" x14ac:dyDescent="0.15">
      <c r="A1300" s="11">
        <v>2457</v>
      </c>
      <c r="B1300" s="11" t="s">
        <v>53</v>
      </c>
      <c r="C1300" s="11" t="s">
        <v>156</v>
      </c>
      <c r="D1300" s="11">
        <v>1</v>
      </c>
      <c r="E1300" s="11" t="s">
        <v>4</v>
      </c>
      <c r="F1300" s="12">
        <v>20600</v>
      </c>
      <c r="G1300" s="12">
        <v>20600</v>
      </c>
      <c r="H1300" s="11" t="str">
        <f t="shared" si="44"/>
        <v>平成4年12月5日</v>
      </c>
      <c r="I1300" s="22">
        <f t="shared" si="45"/>
        <v>33943</v>
      </c>
      <c r="J1300" s="1" t="str">
        <f>"00741307"</f>
        <v>00741307</v>
      </c>
      <c r="K1300" s="1" t="str">
        <f>"１１７６　　　　　　　　　　　　　　　　"</f>
        <v>１１７６　　　　　　　　　　　　　　　　</v>
      </c>
      <c r="L1300" s="1"/>
    </row>
    <row r="1301" spans="1:12" ht="18" customHeight="1" x14ac:dyDescent="0.15">
      <c r="A1301" s="11">
        <v>2458</v>
      </c>
      <c r="B1301" s="11" t="s">
        <v>53</v>
      </c>
      <c r="C1301" s="11" t="s">
        <v>156</v>
      </c>
      <c r="D1301" s="11">
        <v>1</v>
      </c>
      <c r="E1301" s="11" t="s">
        <v>4</v>
      </c>
      <c r="F1301" s="12">
        <v>20600</v>
      </c>
      <c r="G1301" s="12">
        <v>20600</v>
      </c>
      <c r="H1301" s="11" t="str">
        <f t="shared" si="44"/>
        <v>平成4年12月5日</v>
      </c>
      <c r="I1301" s="22">
        <f t="shared" si="45"/>
        <v>33943</v>
      </c>
      <c r="J1301" s="1" t="str">
        <f>"00741309"</f>
        <v>00741309</v>
      </c>
      <c r="K1301" s="1" t="str">
        <f>"１１７７　　　　　　　　　　　　　　　　"</f>
        <v>１１７７　　　　　　　　　　　　　　　　</v>
      </c>
      <c r="L1301" s="1"/>
    </row>
    <row r="1302" spans="1:12" ht="18" customHeight="1" x14ac:dyDescent="0.15">
      <c r="A1302" s="11">
        <v>2459</v>
      </c>
      <c r="B1302" s="11" t="s">
        <v>53</v>
      </c>
      <c r="C1302" s="11" t="s">
        <v>156</v>
      </c>
      <c r="D1302" s="11">
        <v>1</v>
      </c>
      <c r="E1302" s="11" t="s">
        <v>4</v>
      </c>
      <c r="F1302" s="12">
        <v>20600</v>
      </c>
      <c r="G1302" s="12">
        <v>20600</v>
      </c>
      <c r="H1302" s="11" t="str">
        <f t="shared" si="44"/>
        <v>平成4年12月5日</v>
      </c>
      <c r="I1302" s="22">
        <f t="shared" si="45"/>
        <v>33943</v>
      </c>
      <c r="J1302" s="1" t="str">
        <f>"00741311"</f>
        <v>00741311</v>
      </c>
      <c r="K1302" s="1" t="str">
        <f>"１１７８　　　　　　　　　　　　　　　　"</f>
        <v>１１７８　　　　　　　　　　　　　　　　</v>
      </c>
      <c r="L1302" s="1"/>
    </row>
    <row r="1303" spans="1:12" ht="18" customHeight="1" x14ac:dyDescent="0.15">
      <c r="A1303" s="11">
        <v>2460</v>
      </c>
      <c r="B1303" s="11" t="s">
        <v>53</v>
      </c>
      <c r="C1303" s="11" t="s">
        <v>156</v>
      </c>
      <c r="D1303" s="11">
        <v>1</v>
      </c>
      <c r="E1303" s="11" t="s">
        <v>4</v>
      </c>
      <c r="F1303" s="12">
        <v>20600</v>
      </c>
      <c r="G1303" s="12">
        <v>20600</v>
      </c>
      <c r="H1303" s="11" t="str">
        <f t="shared" si="44"/>
        <v>平成4年12月5日</v>
      </c>
      <c r="I1303" s="22">
        <f t="shared" si="45"/>
        <v>33943</v>
      </c>
      <c r="J1303" s="1" t="str">
        <f>"00741313"</f>
        <v>00741313</v>
      </c>
      <c r="K1303" s="1" t="str">
        <f>"１１７９　　　　　　　　　　　　　　　　"</f>
        <v>１１７９　　　　　　　　　　　　　　　　</v>
      </c>
      <c r="L1303" s="1"/>
    </row>
    <row r="1304" spans="1:12" ht="18" customHeight="1" x14ac:dyDescent="0.15">
      <c r="A1304" s="11">
        <v>2461</v>
      </c>
      <c r="B1304" s="11" t="s">
        <v>53</v>
      </c>
      <c r="C1304" s="11" t="s">
        <v>156</v>
      </c>
      <c r="D1304" s="11">
        <v>1</v>
      </c>
      <c r="E1304" s="11" t="s">
        <v>4</v>
      </c>
      <c r="F1304" s="12">
        <v>20600</v>
      </c>
      <c r="G1304" s="12">
        <v>20600</v>
      </c>
      <c r="H1304" s="11" t="str">
        <f t="shared" si="44"/>
        <v>平成4年12月5日</v>
      </c>
      <c r="I1304" s="22">
        <f t="shared" si="45"/>
        <v>33943</v>
      </c>
      <c r="J1304" s="1" t="str">
        <f>"00741315"</f>
        <v>00741315</v>
      </c>
      <c r="K1304" s="1" t="str">
        <f>"１１８０　　　　　　　　　　　　　　　　"</f>
        <v>１１８０　　　　　　　　　　　　　　　　</v>
      </c>
      <c r="L1304" s="1"/>
    </row>
    <row r="1305" spans="1:12" ht="18" customHeight="1" x14ac:dyDescent="0.15">
      <c r="A1305" s="11">
        <v>2462</v>
      </c>
      <c r="B1305" s="11" t="s">
        <v>53</v>
      </c>
      <c r="C1305" s="11" t="s">
        <v>156</v>
      </c>
      <c r="D1305" s="11">
        <v>1</v>
      </c>
      <c r="E1305" s="11" t="s">
        <v>4</v>
      </c>
      <c r="F1305" s="12">
        <v>20600</v>
      </c>
      <c r="G1305" s="12">
        <v>20600</v>
      </c>
      <c r="H1305" s="11" t="str">
        <f t="shared" si="44"/>
        <v>平成4年12月5日</v>
      </c>
      <c r="I1305" s="22">
        <f t="shared" si="45"/>
        <v>33943</v>
      </c>
      <c r="J1305" s="1" t="str">
        <f>"00741317"</f>
        <v>00741317</v>
      </c>
      <c r="K1305" s="1" t="str">
        <f>"１１８１　　　　　　　　　　　　　　　　"</f>
        <v>１１８１　　　　　　　　　　　　　　　　</v>
      </c>
      <c r="L1305" s="1"/>
    </row>
    <row r="1306" spans="1:12" ht="18" customHeight="1" x14ac:dyDescent="0.15">
      <c r="A1306" s="11">
        <v>2463</v>
      </c>
      <c r="B1306" s="11" t="s">
        <v>53</v>
      </c>
      <c r="C1306" s="11" t="s">
        <v>156</v>
      </c>
      <c r="D1306" s="11">
        <v>1</v>
      </c>
      <c r="E1306" s="11" t="s">
        <v>4</v>
      </c>
      <c r="F1306" s="12">
        <v>20600</v>
      </c>
      <c r="G1306" s="12">
        <v>20600</v>
      </c>
      <c r="H1306" s="11" t="str">
        <f t="shared" si="44"/>
        <v>平成4年12月5日</v>
      </c>
      <c r="I1306" s="22">
        <f t="shared" si="45"/>
        <v>33943</v>
      </c>
      <c r="J1306" s="1" t="str">
        <f>"00741319"</f>
        <v>00741319</v>
      </c>
      <c r="K1306" s="1" t="str">
        <f>"１１８２　　　　　　　　　　　　　　　　"</f>
        <v>１１８２　　　　　　　　　　　　　　　　</v>
      </c>
      <c r="L1306" s="1"/>
    </row>
    <row r="1307" spans="1:12" ht="18" customHeight="1" x14ac:dyDescent="0.15">
      <c r="A1307" s="11">
        <v>2464</v>
      </c>
      <c r="B1307" s="11" t="s">
        <v>53</v>
      </c>
      <c r="C1307" s="11" t="s">
        <v>156</v>
      </c>
      <c r="D1307" s="11">
        <v>1</v>
      </c>
      <c r="E1307" s="11" t="s">
        <v>4</v>
      </c>
      <c r="F1307" s="12">
        <v>20600</v>
      </c>
      <c r="G1307" s="12">
        <v>20600</v>
      </c>
      <c r="H1307" s="11" t="str">
        <f t="shared" si="44"/>
        <v>平成4年12月5日</v>
      </c>
      <c r="I1307" s="22">
        <f t="shared" si="45"/>
        <v>33943</v>
      </c>
      <c r="J1307" s="1" t="str">
        <f>"00741321"</f>
        <v>00741321</v>
      </c>
      <c r="K1307" s="1" t="str">
        <f>"１１８３　　　　　　　　　　　　　　　　"</f>
        <v>１１８３　　　　　　　　　　　　　　　　</v>
      </c>
      <c r="L1307" s="1"/>
    </row>
    <row r="1308" spans="1:12" ht="18" customHeight="1" x14ac:dyDescent="0.15">
      <c r="A1308" s="11">
        <v>2465</v>
      </c>
      <c r="B1308" s="11" t="s">
        <v>53</v>
      </c>
      <c r="C1308" s="11" t="s">
        <v>156</v>
      </c>
      <c r="D1308" s="11">
        <v>1</v>
      </c>
      <c r="E1308" s="11" t="s">
        <v>4</v>
      </c>
      <c r="F1308" s="12">
        <v>20600</v>
      </c>
      <c r="G1308" s="12">
        <v>20600</v>
      </c>
      <c r="H1308" s="11" t="str">
        <f t="shared" si="44"/>
        <v>平成4年12月5日</v>
      </c>
      <c r="I1308" s="22">
        <f t="shared" si="45"/>
        <v>33943</v>
      </c>
      <c r="J1308" s="1" t="str">
        <f>"00741323"</f>
        <v>00741323</v>
      </c>
      <c r="K1308" s="1" t="str">
        <f>"１１８４　　　　　　　　　　　　　　　　"</f>
        <v>１１８４　　　　　　　　　　　　　　　　</v>
      </c>
      <c r="L1308" s="1"/>
    </row>
    <row r="1309" spans="1:12" ht="18" customHeight="1" x14ac:dyDescent="0.15">
      <c r="A1309" s="11">
        <v>2466</v>
      </c>
      <c r="B1309" s="11" t="s">
        <v>53</v>
      </c>
      <c r="C1309" s="11" t="s">
        <v>156</v>
      </c>
      <c r="D1309" s="11">
        <v>1</v>
      </c>
      <c r="E1309" s="11" t="s">
        <v>4</v>
      </c>
      <c r="F1309" s="12">
        <v>20600</v>
      </c>
      <c r="G1309" s="12">
        <v>20600</v>
      </c>
      <c r="H1309" s="11" t="str">
        <f t="shared" si="44"/>
        <v>平成4年12月5日</v>
      </c>
      <c r="I1309" s="22">
        <f t="shared" si="45"/>
        <v>33943</v>
      </c>
      <c r="J1309" s="1" t="str">
        <f>"00741325"</f>
        <v>00741325</v>
      </c>
      <c r="K1309" s="1" t="str">
        <f>"１１８５　　　　　　　　　　　　　　　　"</f>
        <v>１１８５　　　　　　　　　　　　　　　　</v>
      </c>
      <c r="L1309" s="1"/>
    </row>
    <row r="1310" spans="1:12" ht="18" customHeight="1" x14ac:dyDescent="0.15">
      <c r="A1310" s="11">
        <v>2467</v>
      </c>
      <c r="B1310" s="11" t="s">
        <v>53</v>
      </c>
      <c r="C1310" s="11" t="s">
        <v>156</v>
      </c>
      <c r="D1310" s="11">
        <v>1</v>
      </c>
      <c r="E1310" s="11" t="s">
        <v>4</v>
      </c>
      <c r="F1310" s="12">
        <v>20600</v>
      </c>
      <c r="G1310" s="12">
        <v>20600</v>
      </c>
      <c r="H1310" s="11" t="str">
        <f t="shared" si="44"/>
        <v>平成4年12月5日</v>
      </c>
      <c r="I1310" s="22">
        <f t="shared" si="45"/>
        <v>33943</v>
      </c>
      <c r="J1310" s="1" t="str">
        <f>"00741327"</f>
        <v>00741327</v>
      </c>
      <c r="K1310" s="1" t="str">
        <f>"１１８６　　　　　　　　　　　　　　　　"</f>
        <v>１１８６　　　　　　　　　　　　　　　　</v>
      </c>
      <c r="L1310" s="1"/>
    </row>
    <row r="1311" spans="1:12" ht="18" customHeight="1" x14ac:dyDescent="0.15">
      <c r="A1311" s="11">
        <v>2468</v>
      </c>
      <c r="B1311" s="11" t="s">
        <v>53</v>
      </c>
      <c r="C1311" s="11" t="s">
        <v>156</v>
      </c>
      <c r="D1311" s="11">
        <v>1</v>
      </c>
      <c r="E1311" s="11" t="s">
        <v>4</v>
      </c>
      <c r="F1311" s="12">
        <v>20600</v>
      </c>
      <c r="G1311" s="12">
        <v>20600</v>
      </c>
      <c r="H1311" s="11" t="str">
        <f t="shared" si="44"/>
        <v>平成4年12月5日</v>
      </c>
      <c r="I1311" s="22">
        <f t="shared" si="45"/>
        <v>33943</v>
      </c>
      <c r="J1311" s="1" t="str">
        <f>"00741329"</f>
        <v>00741329</v>
      </c>
      <c r="K1311" s="1" t="str">
        <f>"１１８７　　　　　　　　　　　　　　　　"</f>
        <v>１１８７　　　　　　　　　　　　　　　　</v>
      </c>
      <c r="L1311" s="1"/>
    </row>
    <row r="1312" spans="1:12" ht="18" customHeight="1" x14ac:dyDescent="0.15">
      <c r="A1312" s="11">
        <v>2469</v>
      </c>
      <c r="B1312" s="11" t="s">
        <v>53</v>
      </c>
      <c r="C1312" s="11" t="s">
        <v>156</v>
      </c>
      <c r="D1312" s="11">
        <v>1</v>
      </c>
      <c r="E1312" s="11" t="s">
        <v>4</v>
      </c>
      <c r="F1312" s="12">
        <v>20600</v>
      </c>
      <c r="G1312" s="12">
        <v>20600</v>
      </c>
      <c r="H1312" s="11" t="str">
        <f t="shared" si="44"/>
        <v>平成4年12月5日</v>
      </c>
      <c r="I1312" s="22">
        <f t="shared" si="45"/>
        <v>33943</v>
      </c>
      <c r="J1312" s="1" t="str">
        <f>"00741331"</f>
        <v>00741331</v>
      </c>
      <c r="K1312" s="1" t="str">
        <f>"１１８８　　　　　　　　　　　　　　　　"</f>
        <v>１１８８　　　　　　　　　　　　　　　　</v>
      </c>
      <c r="L1312" s="1"/>
    </row>
    <row r="1313" spans="1:12" ht="18" customHeight="1" x14ac:dyDescent="0.15">
      <c r="A1313" s="11">
        <v>2470</v>
      </c>
      <c r="B1313" s="11" t="s">
        <v>53</v>
      </c>
      <c r="C1313" s="11" t="s">
        <v>156</v>
      </c>
      <c r="D1313" s="11">
        <v>1</v>
      </c>
      <c r="E1313" s="11" t="s">
        <v>4</v>
      </c>
      <c r="F1313" s="12">
        <v>20600</v>
      </c>
      <c r="G1313" s="12">
        <v>20600</v>
      </c>
      <c r="H1313" s="11" t="str">
        <f t="shared" si="44"/>
        <v>平成4年12月5日</v>
      </c>
      <c r="I1313" s="22">
        <f t="shared" si="45"/>
        <v>33943</v>
      </c>
      <c r="J1313" s="1" t="str">
        <f>"00741333"</f>
        <v>00741333</v>
      </c>
      <c r="K1313" s="1" t="str">
        <f>"１１８９　　　　　　　　　　　　　　　　"</f>
        <v>１１８９　　　　　　　　　　　　　　　　</v>
      </c>
      <c r="L1313" s="1"/>
    </row>
    <row r="1314" spans="1:12" ht="18" customHeight="1" x14ac:dyDescent="0.15">
      <c r="A1314" s="11">
        <v>2471</v>
      </c>
      <c r="B1314" s="11" t="s">
        <v>53</v>
      </c>
      <c r="C1314" s="11" t="s">
        <v>156</v>
      </c>
      <c r="D1314" s="11">
        <v>1</v>
      </c>
      <c r="E1314" s="11" t="s">
        <v>4</v>
      </c>
      <c r="F1314" s="12">
        <v>20600</v>
      </c>
      <c r="G1314" s="12">
        <v>20600</v>
      </c>
      <c r="H1314" s="11" t="str">
        <f t="shared" si="44"/>
        <v>平成4年12月5日</v>
      </c>
      <c r="I1314" s="22">
        <f t="shared" si="45"/>
        <v>33943</v>
      </c>
      <c r="J1314" s="1" t="str">
        <f>"00741335"</f>
        <v>00741335</v>
      </c>
      <c r="K1314" s="1" t="str">
        <f>"１１９０　　　　　　　　　　　　　　　　"</f>
        <v>１１９０　　　　　　　　　　　　　　　　</v>
      </c>
      <c r="L1314" s="1"/>
    </row>
    <row r="1315" spans="1:12" ht="18" customHeight="1" x14ac:dyDescent="0.15">
      <c r="A1315" s="11">
        <v>2472</v>
      </c>
      <c r="B1315" s="11" t="s">
        <v>53</v>
      </c>
      <c r="C1315" s="11" t="s">
        <v>156</v>
      </c>
      <c r="D1315" s="11">
        <v>1</v>
      </c>
      <c r="E1315" s="11" t="s">
        <v>4</v>
      </c>
      <c r="F1315" s="12">
        <v>20600</v>
      </c>
      <c r="G1315" s="12">
        <v>20600</v>
      </c>
      <c r="H1315" s="11" t="str">
        <f t="shared" si="44"/>
        <v>平成4年12月5日</v>
      </c>
      <c r="I1315" s="22">
        <f t="shared" si="45"/>
        <v>33943</v>
      </c>
      <c r="J1315" s="1" t="str">
        <f>"00741337"</f>
        <v>00741337</v>
      </c>
      <c r="K1315" s="1" t="str">
        <f>"１１９１　　　　　　　　　　　　　　　　"</f>
        <v>１１９１　　　　　　　　　　　　　　　　</v>
      </c>
      <c r="L1315" s="1"/>
    </row>
    <row r="1316" spans="1:12" ht="18" customHeight="1" x14ac:dyDescent="0.15">
      <c r="A1316" s="11">
        <v>2473</v>
      </c>
      <c r="B1316" s="11" t="s">
        <v>53</v>
      </c>
      <c r="C1316" s="11" t="s">
        <v>156</v>
      </c>
      <c r="D1316" s="11">
        <v>1</v>
      </c>
      <c r="E1316" s="11" t="s">
        <v>4</v>
      </c>
      <c r="F1316" s="12">
        <v>20600</v>
      </c>
      <c r="G1316" s="12">
        <v>20600</v>
      </c>
      <c r="H1316" s="11" t="str">
        <f t="shared" si="44"/>
        <v>平成4年12月5日</v>
      </c>
      <c r="I1316" s="22">
        <f t="shared" si="45"/>
        <v>33943</v>
      </c>
      <c r="J1316" s="1" t="str">
        <f>"00741339"</f>
        <v>00741339</v>
      </c>
      <c r="K1316" s="1" t="str">
        <f>"１１９２　　　　　　　　　　　　　　　　"</f>
        <v>１１９２　　　　　　　　　　　　　　　　</v>
      </c>
      <c r="L1316" s="1"/>
    </row>
    <row r="1317" spans="1:12" ht="18" customHeight="1" x14ac:dyDescent="0.15">
      <c r="A1317" s="11">
        <v>2474</v>
      </c>
      <c r="B1317" s="11" t="s">
        <v>53</v>
      </c>
      <c r="C1317" s="11" t="s">
        <v>156</v>
      </c>
      <c r="D1317" s="11">
        <v>1</v>
      </c>
      <c r="E1317" s="11" t="s">
        <v>4</v>
      </c>
      <c r="F1317" s="12">
        <v>20600</v>
      </c>
      <c r="G1317" s="12">
        <v>20600</v>
      </c>
      <c r="H1317" s="11" t="str">
        <f t="shared" si="44"/>
        <v>平成4年12月5日</v>
      </c>
      <c r="I1317" s="22">
        <f t="shared" si="45"/>
        <v>33943</v>
      </c>
      <c r="J1317" s="1" t="str">
        <f>"00741341"</f>
        <v>00741341</v>
      </c>
      <c r="K1317" s="1" t="str">
        <f>"１１９３　　　　　　　　　　　　　　　　"</f>
        <v>１１９３　　　　　　　　　　　　　　　　</v>
      </c>
      <c r="L1317" s="1"/>
    </row>
    <row r="1318" spans="1:12" ht="18" customHeight="1" x14ac:dyDescent="0.15">
      <c r="A1318" s="11">
        <v>2475</v>
      </c>
      <c r="B1318" s="11" t="s">
        <v>53</v>
      </c>
      <c r="C1318" s="11" t="s">
        <v>156</v>
      </c>
      <c r="D1318" s="11">
        <v>1</v>
      </c>
      <c r="E1318" s="11" t="s">
        <v>4</v>
      </c>
      <c r="F1318" s="12">
        <v>20600</v>
      </c>
      <c r="G1318" s="12">
        <v>20600</v>
      </c>
      <c r="H1318" s="11" t="str">
        <f t="shared" si="44"/>
        <v>平成4年12月5日</v>
      </c>
      <c r="I1318" s="22">
        <f t="shared" si="45"/>
        <v>33943</v>
      </c>
      <c r="J1318" s="1" t="str">
        <f>"00741343"</f>
        <v>00741343</v>
      </c>
      <c r="K1318" s="1" t="str">
        <f>"１１９４　　　　　　　　　　　　　　　　"</f>
        <v>１１９４　　　　　　　　　　　　　　　　</v>
      </c>
      <c r="L1318" s="1"/>
    </row>
    <row r="1319" spans="1:12" ht="18" customHeight="1" x14ac:dyDescent="0.15">
      <c r="A1319" s="11">
        <v>2476</v>
      </c>
      <c r="B1319" s="11" t="s">
        <v>53</v>
      </c>
      <c r="C1319" s="11" t="s">
        <v>156</v>
      </c>
      <c r="D1319" s="11">
        <v>1</v>
      </c>
      <c r="E1319" s="11" t="s">
        <v>4</v>
      </c>
      <c r="F1319" s="12">
        <v>20600</v>
      </c>
      <c r="G1319" s="12">
        <v>20600</v>
      </c>
      <c r="H1319" s="11" t="str">
        <f t="shared" si="44"/>
        <v>平成4年12月5日</v>
      </c>
      <c r="I1319" s="22">
        <f t="shared" si="45"/>
        <v>33943</v>
      </c>
      <c r="J1319" s="1" t="str">
        <f>"00741345"</f>
        <v>00741345</v>
      </c>
      <c r="K1319" s="1" t="str">
        <f>"１１９５　　　　　　　　　　　　　　　　"</f>
        <v>１１９５　　　　　　　　　　　　　　　　</v>
      </c>
      <c r="L1319" s="1"/>
    </row>
    <row r="1320" spans="1:12" ht="18" customHeight="1" x14ac:dyDescent="0.15">
      <c r="A1320" s="11">
        <v>2477</v>
      </c>
      <c r="B1320" s="11" t="s">
        <v>53</v>
      </c>
      <c r="C1320" s="11" t="s">
        <v>156</v>
      </c>
      <c r="D1320" s="11">
        <v>1</v>
      </c>
      <c r="E1320" s="11" t="s">
        <v>4</v>
      </c>
      <c r="F1320" s="12">
        <v>20600</v>
      </c>
      <c r="G1320" s="12">
        <v>20600</v>
      </c>
      <c r="H1320" s="11" t="str">
        <f t="shared" si="44"/>
        <v>平成4年12月5日</v>
      </c>
      <c r="I1320" s="22">
        <f t="shared" si="45"/>
        <v>33943</v>
      </c>
      <c r="J1320" s="1" t="str">
        <f>"00741347"</f>
        <v>00741347</v>
      </c>
      <c r="K1320" s="1" t="str">
        <f>"１１９６　　　　　　　　　　　　　　　　"</f>
        <v>１１９６　　　　　　　　　　　　　　　　</v>
      </c>
      <c r="L1320" s="1"/>
    </row>
    <row r="1321" spans="1:12" ht="18" customHeight="1" x14ac:dyDescent="0.15">
      <c r="A1321" s="11">
        <v>2478</v>
      </c>
      <c r="B1321" s="11" t="s">
        <v>53</v>
      </c>
      <c r="C1321" s="11" t="s">
        <v>156</v>
      </c>
      <c r="D1321" s="11">
        <v>1</v>
      </c>
      <c r="E1321" s="11" t="s">
        <v>4</v>
      </c>
      <c r="F1321" s="12">
        <v>20600</v>
      </c>
      <c r="G1321" s="12">
        <v>20600</v>
      </c>
      <c r="H1321" s="11" t="str">
        <f t="shared" si="44"/>
        <v>平成4年12月5日</v>
      </c>
      <c r="I1321" s="22">
        <f t="shared" si="45"/>
        <v>33943</v>
      </c>
      <c r="J1321" s="1" t="str">
        <f>"00741349"</f>
        <v>00741349</v>
      </c>
      <c r="K1321" s="1" t="str">
        <f>"１１９７　　　　　　　　　　　　　　　　"</f>
        <v>１１９７　　　　　　　　　　　　　　　　</v>
      </c>
      <c r="L1321" s="1"/>
    </row>
    <row r="1322" spans="1:12" ht="18" customHeight="1" x14ac:dyDescent="0.15">
      <c r="A1322" s="11">
        <v>2479</v>
      </c>
      <c r="B1322" s="11" t="s">
        <v>53</v>
      </c>
      <c r="C1322" s="11" t="s">
        <v>156</v>
      </c>
      <c r="D1322" s="11">
        <v>1</v>
      </c>
      <c r="E1322" s="11" t="s">
        <v>4</v>
      </c>
      <c r="F1322" s="12">
        <v>20600</v>
      </c>
      <c r="G1322" s="12">
        <v>20600</v>
      </c>
      <c r="H1322" s="11" t="str">
        <f t="shared" si="44"/>
        <v>平成4年12月5日</v>
      </c>
      <c r="I1322" s="22">
        <f t="shared" si="45"/>
        <v>33943</v>
      </c>
      <c r="J1322" s="1" t="str">
        <f>"00741351"</f>
        <v>00741351</v>
      </c>
      <c r="K1322" s="1" t="str">
        <f>"１１９８　　　　　　　　　　　　　　　　"</f>
        <v>１１９８　　　　　　　　　　　　　　　　</v>
      </c>
      <c r="L1322" s="1"/>
    </row>
    <row r="1323" spans="1:12" ht="18" customHeight="1" x14ac:dyDescent="0.15">
      <c r="A1323" s="11">
        <v>2480</v>
      </c>
      <c r="B1323" s="11" t="s">
        <v>53</v>
      </c>
      <c r="C1323" s="11" t="s">
        <v>156</v>
      </c>
      <c r="D1323" s="11">
        <v>1</v>
      </c>
      <c r="E1323" s="11" t="s">
        <v>4</v>
      </c>
      <c r="F1323" s="12">
        <v>20600</v>
      </c>
      <c r="G1323" s="12">
        <v>20600</v>
      </c>
      <c r="H1323" s="11" t="str">
        <f t="shared" si="44"/>
        <v>平成4年12月5日</v>
      </c>
      <c r="I1323" s="22">
        <f t="shared" si="45"/>
        <v>33943</v>
      </c>
      <c r="J1323" s="1" t="str">
        <f>"00741353"</f>
        <v>00741353</v>
      </c>
      <c r="K1323" s="1" t="str">
        <f>"１１９９　　　　　　　　　　　　　　　　"</f>
        <v>１１９９　　　　　　　　　　　　　　　　</v>
      </c>
      <c r="L1323" s="1"/>
    </row>
    <row r="1324" spans="1:12" ht="18" customHeight="1" x14ac:dyDescent="0.15">
      <c r="A1324" s="11">
        <v>2481</v>
      </c>
      <c r="B1324" s="11" t="s">
        <v>53</v>
      </c>
      <c r="C1324" s="11" t="s">
        <v>156</v>
      </c>
      <c r="D1324" s="11">
        <v>1</v>
      </c>
      <c r="E1324" s="11" t="s">
        <v>4</v>
      </c>
      <c r="F1324" s="12">
        <v>20600</v>
      </c>
      <c r="G1324" s="12">
        <v>20600</v>
      </c>
      <c r="H1324" s="11" t="str">
        <f t="shared" si="44"/>
        <v>平成4年12月5日</v>
      </c>
      <c r="I1324" s="22">
        <f t="shared" si="45"/>
        <v>33943</v>
      </c>
      <c r="J1324" s="1" t="str">
        <f>"00741355"</f>
        <v>00741355</v>
      </c>
      <c r="K1324" s="1" t="str">
        <f>"１２００　　　　　　　　　　　　　　　　"</f>
        <v>１２００　　　　　　　　　　　　　　　　</v>
      </c>
      <c r="L1324" s="1"/>
    </row>
    <row r="1325" spans="1:12" ht="18" customHeight="1" x14ac:dyDescent="0.15">
      <c r="A1325" s="11">
        <v>2482</v>
      </c>
      <c r="B1325" s="11" t="s">
        <v>53</v>
      </c>
      <c r="C1325" s="11" t="s">
        <v>156</v>
      </c>
      <c r="D1325" s="11">
        <v>1</v>
      </c>
      <c r="E1325" s="11" t="s">
        <v>4</v>
      </c>
      <c r="F1325" s="12">
        <v>20600</v>
      </c>
      <c r="G1325" s="12">
        <v>20600</v>
      </c>
      <c r="H1325" s="11" t="str">
        <f t="shared" si="44"/>
        <v>平成4年12月5日</v>
      </c>
      <c r="I1325" s="22">
        <f t="shared" si="45"/>
        <v>33943</v>
      </c>
      <c r="J1325" s="1" t="str">
        <f>"00741357"</f>
        <v>00741357</v>
      </c>
      <c r="K1325" s="1" t="str">
        <f>"１２０１　　　　　　　　　　　　　　　　"</f>
        <v>１２０１　　　　　　　　　　　　　　　　</v>
      </c>
      <c r="L1325" s="1"/>
    </row>
    <row r="1326" spans="1:12" ht="18" customHeight="1" x14ac:dyDescent="0.15">
      <c r="A1326" s="11">
        <v>2483</v>
      </c>
      <c r="B1326" s="11" t="s">
        <v>53</v>
      </c>
      <c r="C1326" s="11" t="s">
        <v>156</v>
      </c>
      <c r="D1326" s="11">
        <v>1</v>
      </c>
      <c r="E1326" s="11" t="s">
        <v>4</v>
      </c>
      <c r="F1326" s="12">
        <v>20600</v>
      </c>
      <c r="G1326" s="12">
        <v>20600</v>
      </c>
      <c r="H1326" s="11" t="str">
        <f t="shared" ref="H1326:H1389" si="46">"平成4年12月5日"</f>
        <v>平成4年12月5日</v>
      </c>
      <c r="I1326" s="22">
        <f t="shared" si="45"/>
        <v>33943</v>
      </c>
      <c r="J1326" s="1" t="str">
        <f>"00741359"</f>
        <v>00741359</v>
      </c>
      <c r="K1326" s="1" t="str">
        <f>"１２０２　　　　　　　　　　　　　　　　"</f>
        <v>１２０２　　　　　　　　　　　　　　　　</v>
      </c>
      <c r="L1326" s="1"/>
    </row>
    <row r="1327" spans="1:12" ht="18" customHeight="1" x14ac:dyDescent="0.15">
      <c r="A1327" s="11">
        <v>2484</v>
      </c>
      <c r="B1327" s="11" t="s">
        <v>53</v>
      </c>
      <c r="C1327" s="11" t="s">
        <v>156</v>
      </c>
      <c r="D1327" s="11">
        <v>1</v>
      </c>
      <c r="E1327" s="11" t="s">
        <v>4</v>
      </c>
      <c r="F1327" s="12">
        <v>20600</v>
      </c>
      <c r="G1327" s="12">
        <v>20600</v>
      </c>
      <c r="H1327" s="11" t="str">
        <f t="shared" si="46"/>
        <v>平成4年12月5日</v>
      </c>
      <c r="I1327" s="22">
        <f t="shared" si="45"/>
        <v>33943</v>
      </c>
      <c r="J1327" s="1" t="str">
        <f>"00741361"</f>
        <v>00741361</v>
      </c>
      <c r="K1327" s="1" t="str">
        <f>"１２０３　　　　　　　　　　　　　　　　"</f>
        <v>１２０３　　　　　　　　　　　　　　　　</v>
      </c>
      <c r="L1327" s="1"/>
    </row>
    <row r="1328" spans="1:12" ht="18" customHeight="1" x14ac:dyDescent="0.15">
      <c r="A1328" s="11">
        <v>2485</v>
      </c>
      <c r="B1328" s="11" t="s">
        <v>53</v>
      </c>
      <c r="C1328" s="11" t="s">
        <v>156</v>
      </c>
      <c r="D1328" s="11">
        <v>1</v>
      </c>
      <c r="E1328" s="11" t="s">
        <v>4</v>
      </c>
      <c r="F1328" s="12">
        <v>20600</v>
      </c>
      <c r="G1328" s="12">
        <v>20600</v>
      </c>
      <c r="H1328" s="11" t="str">
        <f t="shared" si="46"/>
        <v>平成4年12月5日</v>
      </c>
      <c r="I1328" s="22">
        <f t="shared" si="45"/>
        <v>33943</v>
      </c>
      <c r="J1328" s="1" t="str">
        <f>"00741363"</f>
        <v>00741363</v>
      </c>
      <c r="K1328" s="1" t="str">
        <f>"１２０４　　　　　　　　　　　　　　　　"</f>
        <v>１２０４　　　　　　　　　　　　　　　　</v>
      </c>
      <c r="L1328" s="1"/>
    </row>
    <row r="1329" spans="1:12" ht="18" customHeight="1" x14ac:dyDescent="0.15">
      <c r="A1329" s="11">
        <v>2486</v>
      </c>
      <c r="B1329" s="11" t="s">
        <v>53</v>
      </c>
      <c r="C1329" s="11" t="s">
        <v>156</v>
      </c>
      <c r="D1329" s="11">
        <v>1</v>
      </c>
      <c r="E1329" s="11" t="s">
        <v>4</v>
      </c>
      <c r="F1329" s="12">
        <v>20600</v>
      </c>
      <c r="G1329" s="12">
        <v>20600</v>
      </c>
      <c r="H1329" s="11" t="str">
        <f t="shared" si="46"/>
        <v>平成4年12月5日</v>
      </c>
      <c r="I1329" s="22">
        <f t="shared" si="45"/>
        <v>33943</v>
      </c>
      <c r="J1329" s="1" t="str">
        <f>"00741365"</f>
        <v>00741365</v>
      </c>
      <c r="K1329" s="1" t="str">
        <f>"１２０５　　　　　　　　　　　　　　　　"</f>
        <v>１２０５　　　　　　　　　　　　　　　　</v>
      </c>
      <c r="L1329" s="1"/>
    </row>
    <row r="1330" spans="1:12" ht="18" customHeight="1" x14ac:dyDescent="0.15">
      <c r="A1330" s="11">
        <v>2487</v>
      </c>
      <c r="B1330" s="11" t="s">
        <v>53</v>
      </c>
      <c r="C1330" s="11" t="s">
        <v>156</v>
      </c>
      <c r="D1330" s="11">
        <v>1</v>
      </c>
      <c r="E1330" s="11" t="s">
        <v>4</v>
      </c>
      <c r="F1330" s="12">
        <v>20600</v>
      </c>
      <c r="G1330" s="12">
        <v>20600</v>
      </c>
      <c r="H1330" s="11" t="str">
        <f t="shared" si="46"/>
        <v>平成4年12月5日</v>
      </c>
      <c r="I1330" s="22">
        <f t="shared" si="45"/>
        <v>33943</v>
      </c>
      <c r="J1330" s="1" t="str">
        <f>"00741367"</f>
        <v>00741367</v>
      </c>
      <c r="K1330" s="1" t="str">
        <f>"１２０６　　　　　　　　　　　　　　　　"</f>
        <v>１２０６　　　　　　　　　　　　　　　　</v>
      </c>
      <c r="L1330" s="1"/>
    </row>
    <row r="1331" spans="1:12" ht="18" customHeight="1" x14ac:dyDescent="0.15">
      <c r="A1331" s="11">
        <v>2488</v>
      </c>
      <c r="B1331" s="11" t="s">
        <v>53</v>
      </c>
      <c r="C1331" s="11" t="s">
        <v>156</v>
      </c>
      <c r="D1331" s="11">
        <v>1</v>
      </c>
      <c r="E1331" s="11" t="s">
        <v>4</v>
      </c>
      <c r="F1331" s="12">
        <v>20600</v>
      </c>
      <c r="G1331" s="12">
        <v>20600</v>
      </c>
      <c r="H1331" s="11" t="str">
        <f t="shared" si="46"/>
        <v>平成4年12月5日</v>
      </c>
      <c r="I1331" s="22">
        <f t="shared" si="45"/>
        <v>33943</v>
      </c>
      <c r="J1331" s="1" t="str">
        <f>"00741369"</f>
        <v>00741369</v>
      </c>
      <c r="K1331" s="1" t="str">
        <f>"１２０７　　　　　　　　　　　　　　　　"</f>
        <v>１２０７　　　　　　　　　　　　　　　　</v>
      </c>
      <c r="L1331" s="1"/>
    </row>
    <row r="1332" spans="1:12" ht="18" customHeight="1" x14ac:dyDescent="0.15">
      <c r="A1332" s="11">
        <v>2489</v>
      </c>
      <c r="B1332" s="11" t="s">
        <v>53</v>
      </c>
      <c r="C1332" s="11" t="s">
        <v>156</v>
      </c>
      <c r="D1332" s="11">
        <v>1</v>
      </c>
      <c r="E1332" s="11" t="s">
        <v>4</v>
      </c>
      <c r="F1332" s="12">
        <v>20600</v>
      </c>
      <c r="G1332" s="12">
        <v>20600</v>
      </c>
      <c r="H1332" s="11" t="str">
        <f t="shared" si="46"/>
        <v>平成4年12月5日</v>
      </c>
      <c r="I1332" s="22">
        <f t="shared" si="45"/>
        <v>33943</v>
      </c>
      <c r="J1332" s="1" t="str">
        <f>"00741371"</f>
        <v>00741371</v>
      </c>
      <c r="K1332" s="1" t="str">
        <f>"１２０８　　　　　　　　　　　　　　　　"</f>
        <v>１２０８　　　　　　　　　　　　　　　　</v>
      </c>
      <c r="L1332" s="1"/>
    </row>
    <row r="1333" spans="1:12" ht="18" customHeight="1" x14ac:dyDescent="0.15">
      <c r="A1333" s="11">
        <v>2490</v>
      </c>
      <c r="B1333" s="11" t="s">
        <v>53</v>
      </c>
      <c r="C1333" s="11" t="s">
        <v>156</v>
      </c>
      <c r="D1333" s="11">
        <v>1</v>
      </c>
      <c r="E1333" s="11" t="s">
        <v>4</v>
      </c>
      <c r="F1333" s="12">
        <v>20600</v>
      </c>
      <c r="G1333" s="12">
        <v>20600</v>
      </c>
      <c r="H1333" s="11" t="str">
        <f t="shared" si="46"/>
        <v>平成4年12月5日</v>
      </c>
      <c r="I1333" s="22">
        <f t="shared" si="45"/>
        <v>33943</v>
      </c>
      <c r="J1333" s="1" t="str">
        <f>"00741373"</f>
        <v>00741373</v>
      </c>
      <c r="K1333" s="1" t="str">
        <f>"１２０９　　　　　　　　　　　　　　　　"</f>
        <v>１２０９　　　　　　　　　　　　　　　　</v>
      </c>
      <c r="L1333" s="1"/>
    </row>
    <row r="1334" spans="1:12" ht="18" customHeight="1" x14ac:dyDescent="0.15">
      <c r="A1334" s="11">
        <v>2491</v>
      </c>
      <c r="B1334" s="11" t="s">
        <v>53</v>
      </c>
      <c r="C1334" s="11" t="s">
        <v>156</v>
      </c>
      <c r="D1334" s="11">
        <v>1</v>
      </c>
      <c r="E1334" s="11" t="s">
        <v>4</v>
      </c>
      <c r="F1334" s="12">
        <v>20600</v>
      </c>
      <c r="G1334" s="12">
        <v>20600</v>
      </c>
      <c r="H1334" s="11" t="str">
        <f t="shared" si="46"/>
        <v>平成4年12月5日</v>
      </c>
      <c r="I1334" s="22">
        <f t="shared" si="45"/>
        <v>33943</v>
      </c>
      <c r="J1334" s="1" t="str">
        <f>"00741375"</f>
        <v>00741375</v>
      </c>
      <c r="K1334" s="1" t="str">
        <f>"１２１０　　　　　　　　　　　　　　　　"</f>
        <v>１２１０　　　　　　　　　　　　　　　　</v>
      </c>
      <c r="L1334" s="1"/>
    </row>
    <row r="1335" spans="1:12" ht="18" customHeight="1" x14ac:dyDescent="0.15">
      <c r="A1335" s="11">
        <v>2492</v>
      </c>
      <c r="B1335" s="11" t="s">
        <v>53</v>
      </c>
      <c r="C1335" s="11" t="s">
        <v>156</v>
      </c>
      <c r="D1335" s="11">
        <v>1</v>
      </c>
      <c r="E1335" s="11" t="s">
        <v>4</v>
      </c>
      <c r="F1335" s="12">
        <v>20600</v>
      </c>
      <c r="G1335" s="12">
        <v>20600</v>
      </c>
      <c r="H1335" s="11" t="str">
        <f t="shared" si="46"/>
        <v>平成4年12月5日</v>
      </c>
      <c r="I1335" s="22">
        <f t="shared" si="45"/>
        <v>33943</v>
      </c>
      <c r="J1335" s="1" t="str">
        <f>"00741377"</f>
        <v>00741377</v>
      </c>
      <c r="K1335" s="1" t="str">
        <f>"１２１１　　　　　　　　　　　　　　　　"</f>
        <v>１２１１　　　　　　　　　　　　　　　　</v>
      </c>
      <c r="L1335" s="1"/>
    </row>
    <row r="1336" spans="1:12" ht="18" customHeight="1" x14ac:dyDescent="0.15">
      <c r="A1336" s="11">
        <v>2493</v>
      </c>
      <c r="B1336" s="11" t="s">
        <v>53</v>
      </c>
      <c r="C1336" s="11" t="s">
        <v>156</v>
      </c>
      <c r="D1336" s="11">
        <v>1</v>
      </c>
      <c r="E1336" s="11" t="s">
        <v>4</v>
      </c>
      <c r="F1336" s="12">
        <v>20600</v>
      </c>
      <c r="G1336" s="12">
        <v>20600</v>
      </c>
      <c r="H1336" s="11" t="str">
        <f t="shared" si="46"/>
        <v>平成4年12月5日</v>
      </c>
      <c r="I1336" s="22">
        <f t="shared" si="45"/>
        <v>33943</v>
      </c>
      <c r="J1336" s="1" t="str">
        <f>"00741379"</f>
        <v>00741379</v>
      </c>
      <c r="K1336" s="1" t="str">
        <f>"１２１２　　　　　　　　　　　　　　　　"</f>
        <v>１２１２　　　　　　　　　　　　　　　　</v>
      </c>
      <c r="L1336" s="1"/>
    </row>
    <row r="1337" spans="1:12" ht="18" customHeight="1" x14ac:dyDescent="0.15">
      <c r="A1337" s="11">
        <v>2494</v>
      </c>
      <c r="B1337" s="11" t="s">
        <v>53</v>
      </c>
      <c r="C1337" s="11" t="s">
        <v>156</v>
      </c>
      <c r="D1337" s="11">
        <v>1</v>
      </c>
      <c r="E1337" s="11" t="s">
        <v>4</v>
      </c>
      <c r="F1337" s="12">
        <v>20600</v>
      </c>
      <c r="G1337" s="12">
        <v>20600</v>
      </c>
      <c r="H1337" s="11" t="str">
        <f t="shared" si="46"/>
        <v>平成4年12月5日</v>
      </c>
      <c r="I1337" s="22">
        <f t="shared" si="45"/>
        <v>33943</v>
      </c>
      <c r="J1337" s="1" t="str">
        <f>"00741381"</f>
        <v>00741381</v>
      </c>
      <c r="K1337" s="1" t="str">
        <f>"１２１３　　　　　　　　　　　　　　　　"</f>
        <v>１２１３　　　　　　　　　　　　　　　　</v>
      </c>
      <c r="L1337" s="1"/>
    </row>
    <row r="1338" spans="1:12" ht="18" customHeight="1" x14ac:dyDescent="0.15">
      <c r="A1338" s="11">
        <v>2495</v>
      </c>
      <c r="B1338" s="11" t="s">
        <v>53</v>
      </c>
      <c r="C1338" s="11" t="s">
        <v>156</v>
      </c>
      <c r="D1338" s="11">
        <v>1</v>
      </c>
      <c r="E1338" s="11" t="s">
        <v>4</v>
      </c>
      <c r="F1338" s="12">
        <v>20600</v>
      </c>
      <c r="G1338" s="12">
        <v>20600</v>
      </c>
      <c r="H1338" s="11" t="str">
        <f t="shared" si="46"/>
        <v>平成4年12月5日</v>
      </c>
      <c r="I1338" s="22">
        <f t="shared" si="45"/>
        <v>33943</v>
      </c>
      <c r="J1338" s="1" t="str">
        <f>"00741383"</f>
        <v>00741383</v>
      </c>
      <c r="K1338" s="1" t="str">
        <f>"１２１４　　　　　　　　　　　　　　　　"</f>
        <v>１２１４　　　　　　　　　　　　　　　　</v>
      </c>
      <c r="L1338" s="1"/>
    </row>
    <row r="1339" spans="1:12" ht="18" customHeight="1" x14ac:dyDescent="0.15">
      <c r="A1339" s="11">
        <v>2496</v>
      </c>
      <c r="B1339" s="11" t="s">
        <v>53</v>
      </c>
      <c r="C1339" s="11" t="s">
        <v>156</v>
      </c>
      <c r="D1339" s="11">
        <v>1</v>
      </c>
      <c r="E1339" s="11" t="s">
        <v>4</v>
      </c>
      <c r="F1339" s="12">
        <v>20600</v>
      </c>
      <c r="G1339" s="12">
        <v>20600</v>
      </c>
      <c r="H1339" s="11" t="str">
        <f t="shared" si="46"/>
        <v>平成4年12月5日</v>
      </c>
      <c r="I1339" s="22">
        <f t="shared" si="45"/>
        <v>33943</v>
      </c>
      <c r="J1339" s="1" t="str">
        <f>"00741385"</f>
        <v>00741385</v>
      </c>
      <c r="K1339" s="1" t="str">
        <f>"１２１５　　　　　　　　　　　　　　　　"</f>
        <v>１２１５　　　　　　　　　　　　　　　　</v>
      </c>
      <c r="L1339" s="1"/>
    </row>
    <row r="1340" spans="1:12" ht="18" customHeight="1" x14ac:dyDescent="0.15">
      <c r="A1340" s="11">
        <v>2497</v>
      </c>
      <c r="B1340" s="11" t="s">
        <v>53</v>
      </c>
      <c r="C1340" s="11" t="s">
        <v>156</v>
      </c>
      <c r="D1340" s="11">
        <v>1</v>
      </c>
      <c r="E1340" s="11" t="s">
        <v>4</v>
      </c>
      <c r="F1340" s="12">
        <v>20600</v>
      </c>
      <c r="G1340" s="12">
        <v>20600</v>
      </c>
      <c r="H1340" s="11" t="str">
        <f t="shared" si="46"/>
        <v>平成4年12月5日</v>
      </c>
      <c r="I1340" s="22">
        <f t="shared" si="45"/>
        <v>33943</v>
      </c>
      <c r="J1340" s="1" t="str">
        <f>"00741387"</f>
        <v>00741387</v>
      </c>
      <c r="K1340" s="1" t="str">
        <f>"１２１６　　　　　　　　　　　　　　　　"</f>
        <v>１２１６　　　　　　　　　　　　　　　　</v>
      </c>
      <c r="L1340" s="1"/>
    </row>
    <row r="1341" spans="1:12" ht="18" customHeight="1" x14ac:dyDescent="0.15">
      <c r="A1341" s="11">
        <v>2498</v>
      </c>
      <c r="B1341" s="11" t="s">
        <v>53</v>
      </c>
      <c r="C1341" s="11" t="s">
        <v>156</v>
      </c>
      <c r="D1341" s="11">
        <v>1</v>
      </c>
      <c r="E1341" s="11" t="s">
        <v>4</v>
      </c>
      <c r="F1341" s="12">
        <v>20600</v>
      </c>
      <c r="G1341" s="12">
        <v>20600</v>
      </c>
      <c r="H1341" s="11" t="str">
        <f t="shared" si="46"/>
        <v>平成4年12月5日</v>
      </c>
      <c r="I1341" s="22">
        <f t="shared" si="45"/>
        <v>33943</v>
      </c>
      <c r="J1341" s="1" t="str">
        <f>"00741389"</f>
        <v>00741389</v>
      </c>
      <c r="K1341" s="1" t="str">
        <f>"１２１７　　　　　　　　　　　　　　　　"</f>
        <v>１２１７　　　　　　　　　　　　　　　　</v>
      </c>
      <c r="L1341" s="1"/>
    </row>
    <row r="1342" spans="1:12" ht="18" customHeight="1" x14ac:dyDescent="0.15">
      <c r="A1342" s="11">
        <v>2499</v>
      </c>
      <c r="B1342" s="11" t="s">
        <v>53</v>
      </c>
      <c r="C1342" s="11" t="s">
        <v>156</v>
      </c>
      <c r="D1342" s="11">
        <v>1</v>
      </c>
      <c r="E1342" s="11" t="s">
        <v>4</v>
      </c>
      <c r="F1342" s="12">
        <v>20600</v>
      </c>
      <c r="G1342" s="12">
        <v>20600</v>
      </c>
      <c r="H1342" s="11" t="str">
        <f t="shared" si="46"/>
        <v>平成4年12月5日</v>
      </c>
      <c r="I1342" s="22">
        <f t="shared" si="45"/>
        <v>33943</v>
      </c>
      <c r="J1342" s="1" t="str">
        <f>"00741391"</f>
        <v>00741391</v>
      </c>
      <c r="K1342" s="1" t="str">
        <f>"１２１８　　　　　　　　　　　　　　　　"</f>
        <v>１２１８　　　　　　　　　　　　　　　　</v>
      </c>
      <c r="L1342" s="1"/>
    </row>
    <row r="1343" spans="1:12" ht="18" customHeight="1" x14ac:dyDescent="0.15">
      <c r="A1343" s="11">
        <v>2500</v>
      </c>
      <c r="B1343" s="11" t="s">
        <v>53</v>
      </c>
      <c r="C1343" s="11" t="s">
        <v>156</v>
      </c>
      <c r="D1343" s="11">
        <v>1</v>
      </c>
      <c r="E1343" s="11" t="s">
        <v>4</v>
      </c>
      <c r="F1343" s="12">
        <v>20600</v>
      </c>
      <c r="G1343" s="12">
        <v>20600</v>
      </c>
      <c r="H1343" s="11" t="str">
        <f t="shared" si="46"/>
        <v>平成4年12月5日</v>
      </c>
      <c r="I1343" s="22">
        <f t="shared" si="45"/>
        <v>33943</v>
      </c>
      <c r="J1343" s="1" t="str">
        <f>"00741393"</f>
        <v>00741393</v>
      </c>
      <c r="K1343" s="1" t="str">
        <f>"１２１９　　　　　　　　　　　　　　　　"</f>
        <v>１２１９　　　　　　　　　　　　　　　　</v>
      </c>
      <c r="L1343" s="1"/>
    </row>
    <row r="1344" spans="1:12" ht="18" customHeight="1" x14ac:dyDescent="0.15">
      <c r="A1344" s="11">
        <v>2501</v>
      </c>
      <c r="B1344" s="11" t="s">
        <v>53</v>
      </c>
      <c r="C1344" s="11" t="s">
        <v>156</v>
      </c>
      <c r="D1344" s="11">
        <v>1</v>
      </c>
      <c r="E1344" s="11" t="s">
        <v>4</v>
      </c>
      <c r="F1344" s="12">
        <v>20600</v>
      </c>
      <c r="G1344" s="12">
        <v>20600</v>
      </c>
      <c r="H1344" s="11" t="str">
        <f t="shared" si="46"/>
        <v>平成4年12月5日</v>
      </c>
      <c r="I1344" s="22">
        <f t="shared" si="45"/>
        <v>33943</v>
      </c>
      <c r="J1344" s="1" t="str">
        <f>"00741395"</f>
        <v>00741395</v>
      </c>
      <c r="K1344" s="1" t="str">
        <f>"１２２０　　　　　　　　　　　　　　　　"</f>
        <v>１２２０　　　　　　　　　　　　　　　　</v>
      </c>
      <c r="L1344" s="1"/>
    </row>
    <row r="1345" spans="1:12" ht="18" customHeight="1" x14ac:dyDescent="0.15">
      <c r="A1345" s="11">
        <v>2502</v>
      </c>
      <c r="B1345" s="11" t="s">
        <v>53</v>
      </c>
      <c r="C1345" s="11" t="s">
        <v>156</v>
      </c>
      <c r="D1345" s="11">
        <v>1</v>
      </c>
      <c r="E1345" s="11" t="s">
        <v>4</v>
      </c>
      <c r="F1345" s="12">
        <v>20600</v>
      </c>
      <c r="G1345" s="12">
        <v>20600</v>
      </c>
      <c r="H1345" s="11" t="str">
        <f t="shared" si="46"/>
        <v>平成4年12月5日</v>
      </c>
      <c r="I1345" s="22">
        <f t="shared" si="45"/>
        <v>33943</v>
      </c>
      <c r="J1345" s="1" t="str">
        <f>"00741397"</f>
        <v>00741397</v>
      </c>
      <c r="K1345" s="1" t="str">
        <f>"１２２１　　　　　　　　　　　　　　　　"</f>
        <v>１２２１　　　　　　　　　　　　　　　　</v>
      </c>
      <c r="L1345" s="1"/>
    </row>
    <row r="1346" spans="1:12" ht="18" customHeight="1" x14ac:dyDescent="0.15">
      <c r="A1346" s="11">
        <v>2503</v>
      </c>
      <c r="B1346" s="11" t="s">
        <v>53</v>
      </c>
      <c r="C1346" s="11" t="s">
        <v>156</v>
      </c>
      <c r="D1346" s="11">
        <v>1</v>
      </c>
      <c r="E1346" s="11" t="s">
        <v>4</v>
      </c>
      <c r="F1346" s="12">
        <v>20600</v>
      </c>
      <c r="G1346" s="12">
        <v>20600</v>
      </c>
      <c r="H1346" s="11" t="str">
        <f t="shared" si="46"/>
        <v>平成4年12月5日</v>
      </c>
      <c r="I1346" s="22">
        <f t="shared" si="45"/>
        <v>33943</v>
      </c>
      <c r="J1346" s="1" t="str">
        <f>"00741399"</f>
        <v>00741399</v>
      </c>
      <c r="K1346" s="1" t="str">
        <f>"１２２２　　　　　　　　　　　　　　　　"</f>
        <v>１２２２　　　　　　　　　　　　　　　　</v>
      </c>
      <c r="L1346" s="1"/>
    </row>
    <row r="1347" spans="1:12" ht="18" customHeight="1" x14ac:dyDescent="0.15">
      <c r="A1347" s="11">
        <v>2504</v>
      </c>
      <c r="B1347" s="11" t="s">
        <v>53</v>
      </c>
      <c r="C1347" s="11" t="s">
        <v>156</v>
      </c>
      <c r="D1347" s="11">
        <v>1</v>
      </c>
      <c r="E1347" s="11" t="s">
        <v>4</v>
      </c>
      <c r="F1347" s="12">
        <v>20600</v>
      </c>
      <c r="G1347" s="12">
        <v>20600</v>
      </c>
      <c r="H1347" s="11" t="str">
        <f t="shared" si="46"/>
        <v>平成4年12月5日</v>
      </c>
      <c r="I1347" s="22">
        <f t="shared" si="45"/>
        <v>33943</v>
      </c>
      <c r="J1347" s="1" t="str">
        <f>"00741401"</f>
        <v>00741401</v>
      </c>
      <c r="K1347" s="1" t="str">
        <f>"１２２３　　　　　　　　　　　　　　　　"</f>
        <v>１２２３　　　　　　　　　　　　　　　　</v>
      </c>
      <c r="L1347" s="1"/>
    </row>
    <row r="1348" spans="1:12" ht="18" customHeight="1" x14ac:dyDescent="0.15">
      <c r="A1348" s="11">
        <v>2505</v>
      </c>
      <c r="B1348" s="11" t="s">
        <v>53</v>
      </c>
      <c r="C1348" s="11" t="s">
        <v>156</v>
      </c>
      <c r="D1348" s="11">
        <v>1</v>
      </c>
      <c r="E1348" s="11" t="s">
        <v>4</v>
      </c>
      <c r="F1348" s="12">
        <v>20600</v>
      </c>
      <c r="G1348" s="12">
        <v>20600</v>
      </c>
      <c r="H1348" s="11" t="str">
        <f t="shared" si="46"/>
        <v>平成4年12月5日</v>
      </c>
      <c r="I1348" s="22">
        <f t="shared" si="45"/>
        <v>33943</v>
      </c>
      <c r="J1348" s="1" t="str">
        <f>"00741403"</f>
        <v>00741403</v>
      </c>
      <c r="K1348" s="1" t="str">
        <f>"１２２４　　　　　　　　　　　　　　　　"</f>
        <v>１２２４　　　　　　　　　　　　　　　　</v>
      </c>
      <c r="L1348" s="1"/>
    </row>
    <row r="1349" spans="1:12" ht="18" customHeight="1" x14ac:dyDescent="0.15">
      <c r="A1349" s="11">
        <v>2506</v>
      </c>
      <c r="B1349" s="11" t="s">
        <v>53</v>
      </c>
      <c r="C1349" s="11" t="s">
        <v>156</v>
      </c>
      <c r="D1349" s="11">
        <v>1</v>
      </c>
      <c r="E1349" s="11" t="s">
        <v>4</v>
      </c>
      <c r="F1349" s="12">
        <v>20600</v>
      </c>
      <c r="G1349" s="12">
        <v>20600</v>
      </c>
      <c r="H1349" s="11" t="str">
        <f t="shared" si="46"/>
        <v>平成4年12月5日</v>
      </c>
      <c r="I1349" s="22">
        <f t="shared" si="45"/>
        <v>33943</v>
      </c>
      <c r="J1349" s="1" t="str">
        <f>"00741405"</f>
        <v>00741405</v>
      </c>
      <c r="K1349" s="1" t="str">
        <f>"１２２５　　　　　　　　　　　　　　　　"</f>
        <v>１２２５　　　　　　　　　　　　　　　　</v>
      </c>
      <c r="L1349" s="1"/>
    </row>
    <row r="1350" spans="1:12" ht="18" customHeight="1" x14ac:dyDescent="0.15">
      <c r="A1350" s="11">
        <v>2507</v>
      </c>
      <c r="B1350" s="11" t="s">
        <v>53</v>
      </c>
      <c r="C1350" s="11" t="s">
        <v>156</v>
      </c>
      <c r="D1350" s="11">
        <v>1</v>
      </c>
      <c r="E1350" s="11" t="s">
        <v>4</v>
      </c>
      <c r="F1350" s="12">
        <v>20600</v>
      </c>
      <c r="G1350" s="12">
        <v>20600</v>
      </c>
      <c r="H1350" s="11" t="str">
        <f t="shared" si="46"/>
        <v>平成4年12月5日</v>
      </c>
      <c r="I1350" s="22">
        <f t="shared" si="45"/>
        <v>33943</v>
      </c>
      <c r="J1350" s="1" t="str">
        <f>"00741407"</f>
        <v>00741407</v>
      </c>
      <c r="K1350" s="1" t="str">
        <f>"１２２６　　　　　　　　　　　　　　　　"</f>
        <v>１２２６　　　　　　　　　　　　　　　　</v>
      </c>
      <c r="L1350" s="1"/>
    </row>
    <row r="1351" spans="1:12" ht="18" customHeight="1" x14ac:dyDescent="0.15">
      <c r="A1351" s="11">
        <v>2508</v>
      </c>
      <c r="B1351" s="11" t="s">
        <v>53</v>
      </c>
      <c r="C1351" s="11" t="s">
        <v>156</v>
      </c>
      <c r="D1351" s="11">
        <v>1</v>
      </c>
      <c r="E1351" s="11" t="s">
        <v>4</v>
      </c>
      <c r="F1351" s="12">
        <v>20600</v>
      </c>
      <c r="G1351" s="12">
        <v>20600</v>
      </c>
      <c r="H1351" s="11" t="str">
        <f t="shared" si="46"/>
        <v>平成4年12月5日</v>
      </c>
      <c r="I1351" s="22">
        <f t="shared" si="45"/>
        <v>33943</v>
      </c>
      <c r="J1351" s="1" t="str">
        <f>"00741409"</f>
        <v>00741409</v>
      </c>
      <c r="K1351" s="1" t="str">
        <f>"１２２７　　　　　　　　　　　　　　　　"</f>
        <v>１２２７　　　　　　　　　　　　　　　　</v>
      </c>
      <c r="L1351" s="1"/>
    </row>
    <row r="1352" spans="1:12" ht="18" customHeight="1" x14ac:dyDescent="0.15">
      <c r="A1352" s="11">
        <v>2509</v>
      </c>
      <c r="B1352" s="11" t="s">
        <v>53</v>
      </c>
      <c r="C1352" s="11" t="s">
        <v>156</v>
      </c>
      <c r="D1352" s="11">
        <v>1</v>
      </c>
      <c r="E1352" s="11" t="s">
        <v>4</v>
      </c>
      <c r="F1352" s="12">
        <v>20600</v>
      </c>
      <c r="G1352" s="12">
        <v>20600</v>
      </c>
      <c r="H1352" s="11" t="str">
        <f t="shared" si="46"/>
        <v>平成4年12月5日</v>
      </c>
      <c r="I1352" s="22">
        <f t="shared" si="45"/>
        <v>33943</v>
      </c>
      <c r="J1352" s="1" t="str">
        <f>"00741411"</f>
        <v>00741411</v>
      </c>
      <c r="K1352" s="1" t="str">
        <f>"１２２８　　　　　　　　　　　　　　　　"</f>
        <v>１２２８　　　　　　　　　　　　　　　　</v>
      </c>
      <c r="L1352" s="1"/>
    </row>
    <row r="1353" spans="1:12" ht="18" customHeight="1" x14ac:dyDescent="0.15">
      <c r="A1353" s="11">
        <v>2510</v>
      </c>
      <c r="B1353" s="11" t="s">
        <v>53</v>
      </c>
      <c r="C1353" s="11" t="s">
        <v>156</v>
      </c>
      <c r="D1353" s="11">
        <v>1</v>
      </c>
      <c r="E1353" s="11" t="s">
        <v>4</v>
      </c>
      <c r="F1353" s="12">
        <v>20600</v>
      </c>
      <c r="G1353" s="12">
        <v>20600</v>
      </c>
      <c r="H1353" s="11" t="str">
        <f t="shared" si="46"/>
        <v>平成4年12月5日</v>
      </c>
      <c r="I1353" s="22">
        <f t="shared" si="45"/>
        <v>33943</v>
      </c>
      <c r="J1353" s="1" t="str">
        <f>"00741413"</f>
        <v>00741413</v>
      </c>
      <c r="K1353" s="1" t="str">
        <f>"１２２９　　　　　　　　　　　　　　　　"</f>
        <v>１２２９　　　　　　　　　　　　　　　　</v>
      </c>
      <c r="L1353" s="1"/>
    </row>
    <row r="1354" spans="1:12" ht="18" customHeight="1" x14ac:dyDescent="0.15">
      <c r="A1354" s="11">
        <v>2511</v>
      </c>
      <c r="B1354" s="11" t="s">
        <v>53</v>
      </c>
      <c r="C1354" s="11" t="s">
        <v>156</v>
      </c>
      <c r="D1354" s="11">
        <v>1</v>
      </c>
      <c r="E1354" s="11" t="s">
        <v>4</v>
      </c>
      <c r="F1354" s="12">
        <v>20600</v>
      </c>
      <c r="G1354" s="12">
        <v>20600</v>
      </c>
      <c r="H1354" s="11" t="str">
        <f t="shared" si="46"/>
        <v>平成4年12月5日</v>
      </c>
      <c r="I1354" s="22">
        <f t="shared" si="45"/>
        <v>33943</v>
      </c>
      <c r="J1354" s="1" t="str">
        <f>"00741415"</f>
        <v>00741415</v>
      </c>
      <c r="K1354" s="1" t="str">
        <f>"１２３０　　　　　　　　　　　　　　　　"</f>
        <v>１２３０　　　　　　　　　　　　　　　　</v>
      </c>
      <c r="L1354" s="1"/>
    </row>
    <row r="1355" spans="1:12" ht="18" customHeight="1" x14ac:dyDescent="0.15">
      <c r="A1355" s="11">
        <v>2512</v>
      </c>
      <c r="B1355" s="11" t="s">
        <v>53</v>
      </c>
      <c r="C1355" s="11" t="s">
        <v>156</v>
      </c>
      <c r="D1355" s="11">
        <v>1</v>
      </c>
      <c r="E1355" s="11" t="s">
        <v>4</v>
      </c>
      <c r="F1355" s="12">
        <v>20600</v>
      </c>
      <c r="G1355" s="12">
        <v>20600</v>
      </c>
      <c r="H1355" s="11" t="str">
        <f t="shared" si="46"/>
        <v>平成4年12月5日</v>
      </c>
      <c r="I1355" s="22">
        <f t="shared" si="45"/>
        <v>33943</v>
      </c>
      <c r="J1355" s="1" t="str">
        <f>"00741417"</f>
        <v>00741417</v>
      </c>
      <c r="K1355" s="1" t="str">
        <f>"１２３１　　　　　　　　　　　　　　　　"</f>
        <v>１２３１　　　　　　　　　　　　　　　　</v>
      </c>
      <c r="L1355" s="1"/>
    </row>
    <row r="1356" spans="1:12" ht="18" customHeight="1" x14ac:dyDescent="0.15">
      <c r="A1356" s="11">
        <v>2513</v>
      </c>
      <c r="B1356" s="11" t="s">
        <v>53</v>
      </c>
      <c r="C1356" s="11" t="s">
        <v>156</v>
      </c>
      <c r="D1356" s="11">
        <v>1</v>
      </c>
      <c r="E1356" s="11" t="s">
        <v>4</v>
      </c>
      <c r="F1356" s="12">
        <v>20600</v>
      </c>
      <c r="G1356" s="12">
        <v>20600</v>
      </c>
      <c r="H1356" s="11" t="str">
        <f t="shared" si="46"/>
        <v>平成4年12月5日</v>
      </c>
      <c r="I1356" s="22">
        <f t="shared" si="45"/>
        <v>33943</v>
      </c>
      <c r="J1356" s="1" t="str">
        <f>"00741419"</f>
        <v>00741419</v>
      </c>
      <c r="K1356" s="1" t="str">
        <f>"１２３２　　　　　　　　　　　　　　　　"</f>
        <v>１２３２　　　　　　　　　　　　　　　　</v>
      </c>
      <c r="L1356" s="1"/>
    </row>
    <row r="1357" spans="1:12" ht="18" customHeight="1" x14ac:dyDescent="0.15">
      <c r="A1357" s="11">
        <v>2514</v>
      </c>
      <c r="B1357" s="11" t="s">
        <v>53</v>
      </c>
      <c r="C1357" s="11" t="s">
        <v>156</v>
      </c>
      <c r="D1357" s="11">
        <v>1</v>
      </c>
      <c r="E1357" s="11" t="s">
        <v>4</v>
      </c>
      <c r="F1357" s="12">
        <v>20600</v>
      </c>
      <c r="G1357" s="12">
        <v>20600</v>
      </c>
      <c r="H1357" s="11" t="str">
        <f t="shared" si="46"/>
        <v>平成4年12月5日</v>
      </c>
      <c r="I1357" s="22">
        <f t="shared" si="45"/>
        <v>33943</v>
      </c>
      <c r="J1357" s="1" t="str">
        <f>"00741421"</f>
        <v>00741421</v>
      </c>
      <c r="K1357" s="1" t="str">
        <f>"１２３３　　　　　　　　　　　　　　　　"</f>
        <v>１２３３　　　　　　　　　　　　　　　　</v>
      </c>
      <c r="L1357" s="1"/>
    </row>
    <row r="1358" spans="1:12" ht="18" customHeight="1" x14ac:dyDescent="0.15">
      <c r="A1358" s="11">
        <v>2515</v>
      </c>
      <c r="B1358" s="11" t="s">
        <v>53</v>
      </c>
      <c r="C1358" s="11" t="s">
        <v>156</v>
      </c>
      <c r="D1358" s="11">
        <v>1</v>
      </c>
      <c r="E1358" s="11" t="s">
        <v>4</v>
      </c>
      <c r="F1358" s="12">
        <v>20600</v>
      </c>
      <c r="G1358" s="12">
        <v>20600</v>
      </c>
      <c r="H1358" s="11" t="str">
        <f t="shared" si="46"/>
        <v>平成4年12月5日</v>
      </c>
      <c r="I1358" s="22">
        <f t="shared" si="45"/>
        <v>33943</v>
      </c>
      <c r="J1358" s="1" t="str">
        <f>"00741423"</f>
        <v>00741423</v>
      </c>
      <c r="K1358" s="1" t="str">
        <f>"１２３４　　　　　　　　　　　　　　　　"</f>
        <v>１２３４　　　　　　　　　　　　　　　　</v>
      </c>
      <c r="L1358" s="1"/>
    </row>
    <row r="1359" spans="1:12" ht="18" customHeight="1" x14ac:dyDescent="0.15">
      <c r="A1359" s="11">
        <v>2516</v>
      </c>
      <c r="B1359" s="11" t="s">
        <v>53</v>
      </c>
      <c r="C1359" s="11" t="s">
        <v>156</v>
      </c>
      <c r="D1359" s="11">
        <v>1</v>
      </c>
      <c r="E1359" s="11" t="s">
        <v>4</v>
      </c>
      <c r="F1359" s="12">
        <v>20600</v>
      </c>
      <c r="G1359" s="12">
        <v>20600</v>
      </c>
      <c r="H1359" s="11" t="str">
        <f t="shared" si="46"/>
        <v>平成4年12月5日</v>
      </c>
      <c r="I1359" s="22">
        <f t="shared" si="45"/>
        <v>33943</v>
      </c>
      <c r="J1359" s="1" t="str">
        <f>"00741425"</f>
        <v>00741425</v>
      </c>
      <c r="K1359" s="1" t="str">
        <f>"１２３５　　　　　　　　　　　　　　　　"</f>
        <v>１２３５　　　　　　　　　　　　　　　　</v>
      </c>
      <c r="L1359" s="1"/>
    </row>
    <row r="1360" spans="1:12" ht="18" customHeight="1" x14ac:dyDescent="0.15">
      <c r="A1360" s="11">
        <v>2517</v>
      </c>
      <c r="B1360" s="11" t="s">
        <v>53</v>
      </c>
      <c r="C1360" s="11" t="s">
        <v>156</v>
      </c>
      <c r="D1360" s="11">
        <v>1</v>
      </c>
      <c r="E1360" s="11" t="s">
        <v>4</v>
      </c>
      <c r="F1360" s="12">
        <v>20600</v>
      </c>
      <c r="G1360" s="12">
        <v>20600</v>
      </c>
      <c r="H1360" s="11" t="str">
        <f t="shared" si="46"/>
        <v>平成4年12月5日</v>
      </c>
      <c r="I1360" s="22">
        <f t="shared" si="45"/>
        <v>33943</v>
      </c>
      <c r="J1360" s="1" t="str">
        <f>"00741427"</f>
        <v>00741427</v>
      </c>
      <c r="K1360" s="1" t="str">
        <f>"１２３６　　　　　　　　　　　　　　　　"</f>
        <v>１２３６　　　　　　　　　　　　　　　　</v>
      </c>
      <c r="L1360" s="1"/>
    </row>
    <row r="1361" spans="1:12" ht="18" customHeight="1" x14ac:dyDescent="0.15">
      <c r="A1361" s="11">
        <v>2518</v>
      </c>
      <c r="B1361" s="11" t="s">
        <v>53</v>
      </c>
      <c r="C1361" s="11" t="s">
        <v>156</v>
      </c>
      <c r="D1361" s="11">
        <v>1</v>
      </c>
      <c r="E1361" s="11" t="s">
        <v>4</v>
      </c>
      <c r="F1361" s="12">
        <v>20600</v>
      </c>
      <c r="G1361" s="12">
        <v>20600</v>
      </c>
      <c r="H1361" s="11" t="str">
        <f t="shared" si="46"/>
        <v>平成4年12月5日</v>
      </c>
      <c r="I1361" s="22">
        <f t="shared" si="45"/>
        <v>33943</v>
      </c>
      <c r="J1361" s="1" t="str">
        <f>"00741429"</f>
        <v>00741429</v>
      </c>
      <c r="K1361" s="1" t="str">
        <f>"１２３７　　　　　　　　　　　　　　　　"</f>
        <v>１２３７　　　　　　　　　　　　　　　　</v>
      </c>
      <c r="L1361" s="1"/>
    </row>
    <row r="1362" spans="1:12" ht="18" customHeight="1" x14ac:dyDescent="0.15">
      <c r="A1362" s="11">
        <v>2519</v>
      </c>
      <c r="B1362" s="11" t="s">
        <v>53</v>
      </c>
      <c r="C1362" s="11" t="s">
        <v>156</v>
      </c>
      <c r="D1362" s="11">
        <v>1</v>
      </c>
      <c r="E1362" s="11" t="s">
        <v>4</v>
      </c>
      <c r="F1362" s="12">
        <v>20600</v>
      </c>
      <c r="G1362" s="12">
        <v>20600</v>
      </c>
      <c r="H1362" s="11" t="str">
        <f t="shared" si="46"/>
        <v>平成4年12月5日</v>
      </c>
      <c r="I1362" s="22">
        <f t="shared" ref="I1362:I1425" si="47">DATEVALUE(H1362)</f>
        <v>33943</v>
      </c>
      <c r="J1362" s="1" t="str">
        <f>"00741431"</f>
        <v>00741431</v>
      </c>
      <c r="K1362" s="1" t="str">
        <f>"１２３８　　　　　　　　　　　　　　　　"</f>
        <v>１２３８　　　　　　　　　　　　　　　　</v>
      </c>
      <c r="L1362" s="1"/>
    </row>
    <row r="1363" spans="1:12" ht="18" customHeight="1" x14ac:dyDescent="0.15">
      <c r="A1363" s="11">
        <v>2520</v>
      </c>
      <c r="B1363" s="11" t="s">
        <v>53</v>
      </c>
      <c r="C1363" s="11" t="s">
        <v>156</v>
      </c>
      <c r="D1363" s="11">
        <v>1</v>
      </c>
      <c r="E1363" s="11" t="s">
        <v>4</v>
      </c>
      <c r="F1363" s="12">
        <v>20600</v>
      </c>
      <c r="G1363" s="12">
        <v>20600</v>
      </c>
      <c r="H1363" s="11" t="str">
        <f t="shared" si="46"/>
        <v>平成4年12月5日</v>
      </c>
      <c r="I1363" s="22">
        <f t="shared" si="47"/>
        <v>33943</v>
      </c>
      <c r="J1363" s="1" t="str">
        <f>"00741433"</f>
        <v>00741433</v>
      </c>
      <c r="K1363" s="1" t="str">
        <f>"１２３９　　　　　　　　　　　　　　　　"</f>
        <v>１２３９　　　　　　　　　　　　　　　　</v>
      </c>
      <c r="L1363" s="1"/>
    </row>
    <row r="1364" spans="1:12" ht="18" customHeight="1" x14ac:dyDescent="0.15">
      <c r="A1364" s="11">
        <v>2521</v>
      </c>
      <c r="B1364" s="11" t="s">
        <v>53</v>
      </c>
      <c r="C1364" s="11" t="s">
        <v>156</v>
      </c>
      <c r="D1364" s="11">
        <v>1</v>
      </c>
      <c r="E1364" s="11" t="s">
        <v>4</v>
      </c>
      <c r="F1364" s="12">
        <v>20600</v>
      </c>
      <c r="G1364" s="12">
        <v>20600</v>
      </c>
      <c r="H1364" s="11" t="str">
        <f t="shared" si="46"/>
        <v>平成4年12月5日</v>
      </c>
      <c r="I1364" s="22">
        <f t="shared" si="47"/>
        <v>33943</v>
      </c>
      <c r="J1364" s="1" t="str">
        <f>"00741435"</f>
        <v>00741435</v>
      </c>
      <c r="K1364" s="1" t="str">
        <f>"１２４０　　　　　　　　　　　　　　　　"</f>
        <v>１２４０　　　　　　　　　　　　　　　　</v>
      </c>
      <c r="L1364" s="1"/>
    </row>
    <row r="1365" spans="1:12" ht="18" customHeight="1" x14ac:dyDescent="0.15">
      <c r="A1365" s="11">
        <v>2522</v>
      </c>
      <c r="B1365" s="11" t="s">
        <v>53</v>
      </c>
      <c r="C1365" s="11" t="s">
        <v>156</v>
      </c>
      <c r="D1365" s="11">
        <v>1</v>
      </c>
      <c r="E1365" s="11" t="s">
        <v>4</v>
      </c>
      <c r="F1365" s="12">
        <v>20600</v>
      </c>
      <c r="G1365" s="12">
        <v>20600</v>
      </c>
      <c r="H1365" s="11" t="str">
        <f t="shared" si="46"/>
        <v>平成4年12月5日</v>
      </c>
      <c r="I1365" s="22">
        <f t="shared" si="47"/>
        <v>33943</v>
      </c>
      <c r="J1365" s="1" t="str">
        <f>"00741437"</f>
        <v>00741437</v>
      </c>
      <c r="K1365" s="1" t="str">
        <f>"１２４１　　　　　　　　　　　　　　　　"</f>
        <v>１２４１　　　　　　　　　　　　　　　　</v>
      </c>
      <c r="L1365" s="1"/>
    </row>
    <row r="1366" spans="1:12" ht="18" customHeight="1" x14ac:dyDescent="0.15">
      <c r="A1366" s="11">
        <v>2523</v>
      </c>
      <c r="B1366" s="11" t="s">
        <v>53</v>
      </c>
      <c r="C1366" s="11" t="s">
        <v>156</v>
      </c>
      <c r="D1366" s="11">
        <v>1</v>
      </c>
      <c r="E1366" s="11" t="s">
        <v>4</v>
      </c>
      <c r="F1366" s="12">
        <v>20600</v>
      </c>
      <c r="G1366" s="12">
        <v>20600</v>
      </c>
      <c r="H1366" s="11" t="str">
        <f t="shared" si="46"/>
        <v>平成4年12月5日</v>
      </c>
      <c r="I1366" s="22">
        <f t="shared" si="47"/>
        <v>33943</v>
      </c>
      <c r="J1366" s="1" t="str">
        <f>"00741439"</f>
        <v>00741439</v>
      </c>
      <c r="K1366" s="1" t="str">
        <f>"１２４２　　　　　　　　　　　　　　　　"</f>
        <v>１２４２　　　　　　　　　　　　　　　　</v>
      </c>
      <c r="L1366" s="1"/>
    </row>
    <row r="1367" spans="1:12" ht="18" customHeight="1" x14ac:dyDescent="0.15">
      <c r="A1367" s="11">
        <v>2524</v>
      </c>
      <c r="B1367" s="11" t="s">
        <v>53</v>
      </c>
      <c r="C1367" s="11" t="s">
        <v>156</v>
      </c>
      <c r="D1367" s="11">
        <v>1</v>
      </c>
      <c r="E1367" s="11" t="s">
        <v>4</v>
      </c>
      <c r="F1367" s="12">
        <v>20600</v>
      </c>
      <c r="G1367" s="12">
        <v>20600</v>
      </c>
      <c r="H1367" s="11" t="str">
        <f t="shared" si="46"/>
        <v>平成4年12月5日</v>
      </c>
      <c r="I1367" s="22">
        <f t="shared" si="47"/>
        <v>33943</v>
      </c>
      <c r="J1367" s="1" t="str">
        <f>"00741441"</f>
        <v>00741441</v>
      </c>
      <c r="K1367" s="1" t="str">
        <f>"１２４３　　　　　　　　　　　　　　　　"</f>
        <v>１２４３　　　　　　　　　　　　　　　　</v>
      </c>
      <c r="L1367" s="1"/>
    </row>
    <row r="1368" spans="1:12" ht="18" customHeight="1" x14ac:dyDescent="0.15">
      <c r="A1368" s="11">
        <v>2525</v>
      </c>
      <c r="B1368" s="11" t="s">
        <v>53</v>
      </c>
      <c r="C1368" s="11" t="s">
        <v>156</v>
      </c>
      <c r="D1368" s="11">
        <v>1</v>
      </c>
      <c r="E1368" s="11" t="s">
        <v>4</v>
      </c>
      <c r="F1368" s="12">
        <v>20600</v>
      </c>
      <c r="G1368" s="12">
        <v>20600</v>
      </c>
      <c r="H1368" s="11" t="str">
        <f t="shared" si="46"/>
        <v>平成4年12月5日</v>
      </c>
      <c r="I1368" s="22">
        <f t="shared" si="47"/>
        <v>33943</v>
      </c>
      <c r="J1368" s="1" t="str">
        <f>"00741443"</f>
        <v>00741443</v>
      </c>
      <c r="K1368" s="1" t="str">
        <f>"１２４４　　　　　　　　　　　　　　　　"</f>
        <v>１２４４　　　　　　　　　　　　　　　　</v>
      </c>
      <c r="L1368" s="1"/>
    </row>
    <row r="1369" spans="1:12" ht="18" customHeight="1" x14ac:dyDescent="0.15">
      <c r="A1369" s="11">
        <v>2526</v>
      </c>
      <c r="B1369" s="11" t="s">
        <v>53</v>
      </c>
      <c r="C1369" s="11" t="s">
        <v>156</v>
      </c>
      <c r="D1369" s="11">
        <v>1</v>
      </c>
      <c r="E1369" s="11" t="s">
        <v>4</v>
      </c>
      <c r="F1369" s="12">
        <v>20600</v>
      </c>
      <c r="G1369" s="12">
        <v>20600</v>
      </c>
      <c r="H1369" s="11" t="str">
        <f t="shared" si="46"/>
        <v>平成4年12月5日</v>
      </c>
      <c r="I1369" s="22">
        <f t="shared" si="47"/>
        <v>33943</v>
      </c>
      <c r="J1369" s="1" t="str">
        <f>"00741445"</f>
        <v>00741445</v>
      </c>
      <c r="K1369" s="1" t="str">
        <f>"１２４５　　　　　　　　　　　　　　　　"</f>
        <v>１２４５　　　　　　　　　　　　　　　　</v>
      </c>
      <c r="L1369" s="1"/>
    </row>
    <row r="1370" spans="1:12" ht="18" customHeight="1" x14ac:dyDescent="0.15">
      <c r="A1370" s="11">
        <v>2527</v>
      </c>
      <c r="B1370" s="11" t="s">
        <v>53</v>
      </c>
      <c r="C1370" s="11" t="s">
        <v>156</v>
      </c>
      <c r="D1370" s="11">
        <v>1</v>
      </c>
      <c r="E1370" s="11" t="s">
        <v>4</v>
      </c>
      <c r="F1370" s="12">
        <v>20600</v>
      </c>
      <c r="G1370" s="12">
        <v>20600</v>
      </c>
      <c r="H1370" s="11" t="str">
        <f t="shared" si="46"/>
        <v>平成4年12月5日</v>
      </c>
      <c r="I1370" s="22">
        <f t="shared" si="47"/>
        <v>33943</v>
      </c>
      <c r="J1370" s="1" t="str">
        <f>"00741447"</f>
        <v>00741447</v>
      </c>
      <c r="K1370" s="1" t="str">
        <f>"１２４６　　　　　　　　　　　　　　　　"</f>
        <v>１２４６　　　　　　　　　　　　　　　　</v>
      </c>
      <c r="L1370" s="1"/>
    </row>
    <row r="1371" spans="1:12" ht="18" customHeight="1" x14ac:dyDescent="0.15">
      <c r="A1371" s="11">
        <v>2528</v>
      </c>
      <c r="B1371" s="11" t="s">
        <v>53</v>
      </c>
      <c r="C1371" s="11" t="s">
        <v>156</v>
      </c>
      <c r="D1371" s="11">
        <v>1</v>
      </c>
      <c r="E1371" s="11" t="s">
        <v>4</v>
      </c>
      <c r="F1371" s="12">
        <v>20600</v>
      </c>
      <c r="G1371" s="12">
        <v>20600</v>
      </c>
      <c r="H1371" s="11" t="str">
        <f t="shared" si="46"/>
        <v>平成4年12月5日</v>
      </c>
      <c r="I1371" s="22">
        <f t="shared" si="47"/>
        <v>33943</v>
      </c>
      <c r="J1371" s="1" t="str">
        <f>"00741449"</f>
        <v>00741449</v>
      </c>
      <c r="K1371" s="1" t="str">
        <f>"１２４７　　　　　　　　　　　　　　　　"</f>
        <v>１２４７　　　　　　　　　　　　　　　　</v>
      </c>
      <c r="L1371" s="1"/>
    </row>
    <row r="1372" spans="1:12" ht="18" customHeight="1" x14ac:dyDescent="0.15">
      <c r="A1372" s="11">
        <v>2529</v>
      </c>
      <c r="B1372" s="11" t="s">
        <v>53</v>
      </c>
      <c r="C1372" s="11" t="s">
        <v>156</v>
      </c>
      <c r="D1372" s="11">
        <v>1</v>
      </c>
      <c r="E1372" s="11" t="s">
        <v>4</v>
      </c>
      <c r="F1372" s="12">
        <v>20600</v>
      </c>
      <c r="G1372" s="12">
        <v>20600</v>
      </c>
      <c r="H1372" s="11" t="str">
        <f t="shared" si="46"/>
        <v>平成4年12月5日</v>
      </c>
      <c r="I1372" s="22">
        <f t="shared" si="47"/>
        <v>33943</v>
      </c>
      <c r="J1372" s="1" t="str">
        <f>"00741451"</f>
        <v>00741451</v>
      </c>
      <c r="K1372" s="1" t="str">
        <f>"１２４８　　　　　　　　　　　　　　　　"</f>
        <v>１２４８　　　　　　　　　　　　　　　　</v>
      </c>
      <c r="L1372" s="1"/>
    </row>
    <row r="1373" spans="1:12" ht="18" customHeight="1" x14ac:dyDescent="0.15">
      <c r="A1373" s="11">
        <v>2530</v>
      </c>
      <c r="B1373" s="11" t="s">
        <v>53</v>
      </c>
      <c r="C1373" s="11" t="s">
        <v>156</v>
      </c>
      <c r="D1373" s="11">
        <v>1</v>
      </c>
      <c r="E1373" s="11" t="s">
        <v>4</v>
      </c>
      <c r="F1373" s="12">
        <v>20600</v>
      </c>
      <c r="G1373" s="12">
        <v>20600</v>
      </c>
      <c r="H1373" s="11" t="str">
        <f t="shared" si="46"/>
        <v>平成4年12月5日</v>
      </c>
      <c r="I1373" s="22">
        <f t="shared" si="47"/>
        <v>33943</v>
      </c>
      <c r="J1373" s="1" t="str">
        <f>"00741453"</f>
        <v>00741453</v>
      </c>
      <c r="K1373" s="1" t="str">
        <f>"１２４９　　　　　　　　　　　　　　　　"</f>
        <v>１２４９　　　　　　　　　　　　　　　　</v>
      </c>
      <c r="L1373" s="1"/>
    </row>
    <row r="1374" spans="1:12" ht="18" customHeight="1" x14ac:dyDescent="0.15">
      <c r="A1374" s="11">
        <v>2531</v>
      </c>
      <c r="B1374" s="11" t="s">
        <v>53</v>
      </c>
      <c r="C1374" s="11" t="s">
        <v>156</v>
      </c>
      <c r="D1374" s="11">
        <v>1</v>
      </c>
      <c r="E1374" s="11" t="s">
        <v>4</v>
      </c>
      <c r="F1374" s="12">
        <v>20600</v>
      </c>
      <c r="G1374" s="12">
        <v>20600</v>
      </c>
      <c r="H1374" s="11" t="str">
        <f t="shared" si="46"/>
        <v>平成4年12月5日</v>
      </c>
      <c r="I1374" s="22">
        <f t="shared" si="47"/>
        <v>33943</v>
      </c>
      <c r="J1374" s="1" t="str">
        <f>"00741455"</f>
        <v>00741455</v>
      </c>
      <c r="K1374" s="1" t="str">
        <f>"１２５０　　　　　　　　　　　　　　　　"</f>
        <v>１２５０　　　　　　　　　　　　　　　　</v>
      </c>
      <c r="L1374" s="1"/>
    </row>
    <row r="1375" spans="1:12" ht="18" customHeight="1" x14ac:dyDescent="0.15">
      <c r="A1375" s="11">
        <v>2532</v>
      </c>
      <c r="B1375" s="11" t="s">
        <v>53</v>
      </c>
      <c r="C1375" s="11" t="s">
        <v>156</v>
      </c>
      <c r="D1375" s="11">
        <v>1</v>
      </c>
      <c r="E1375" s="11" t="s">
        <v>4</v>
      </c>
      <c r="F1375" s="12">
        <v>20600</v>
      </c>
      <c r="G1375" s="12">
        <v>20600</v>
      </c>
      <c r="H1375" s="11" t="str">
        <f t="shared" si="46"/>
        <v>平成4年12月5日</v>
      </c>
      <c r="I1375" s="22">
        <f t="shared" si="47"/>
        <v>33943</v>
      </c>
      <c r="J1375" s="1" t="str">
        <f>"00741457"</f>
        <v>00741457</v>
      </c>
      <c r="K1375" s="1" t="str">
        <f>"１２５１　　　　　　　　　　　　　　　　"</f>
        <v>１２５１　　　　　　　　　　　　　　　　</v>
      </c>
      <c r="L1375" s="1"/>
    </row>
    <row r="1376" spans="1:12" ht="18" customHeight="1" x14ac:dyDescent="0.15">
      <c r="A1376" s="11">
        <v>2533</v>
      </c>
      <c r="B1376" s="11" t="s">
        <v>53</v>
      </c>
      <c r="C1376" s="11" t="s">
        <v>156</v>
      </c>
      <c r="D1376" s="11">
        <v>1</v>
      </c>
      <c r="E1376" s="11" t="s">
        <v>4</v>
      </c>
      <c r="F1376" s="12">
        <v>20600</v>
      </c>
      <c r="G1376" s="12">
        <v>20600</v>
      </c>
      <c r="H1376" s="11" t="str">
        <f t="shared" si="46"/>
        <v>平成4年12月5日</v>
      </c>
      <c r="I1376" s="22">
        <f t="shared" si="47"/>
        <v>33943</v>
      </c>
      <c r="J1376" s="1" t="str">
        <f>"00741459"</f>
        <v>00741459</v>
      </c>
      <c r="K1376" s="1" t="str">
        <f>"１２５２　　　　　　　　　　　　　　　　"</f>
        <v>１２５２　　　　　　　　　　　　　　　　</v>
      </c>
      <c r="L1376" s="1"/>
    </row>
    <row r="1377" spans="1:12" ht="18" customHeight="1" x14ac:dyDescent="0.15">
      <c r="A1377" s="11">
        <v>2534</v>
      </c>
      <c r="B1377" s="11" t="s">
        <v>53</v>
      </c>
      <c r="C1377" s="11" t="s">
        <v>156</v>
      </c>
      <c r="D1377" s="11">
        <v>1</v>
      </c>
      <c r="E1377" s="11" t="s">
        <v>4</v>
      </c>
      <c r="F1377" s="12">
        <v>20600</v>
      </c>
      <c r="G1377" s="12">
        <v>20600</v>
      </c>
      <c r="H1377" s="11" t="str">
        <f t="shared" si="46"/>
        <v>平成4年12月5日</v>
      </c>
      <c r="I1377" s="22">
        <f t="shared" si="47"/>
        <v>33943</v>
      </c>
      <c r="J1377" s="1" t="str">
        <f>"00741461"</f>
        <v>00741461</v>
      </c>
      <c r="K1377" s="1" t="str">
        <f>"１２５３　　　　　　　　　　　　　　　　"</f>
        <v>１２５３　　　　　　　　　　　　　　　　</v>
      </c>
      <c r="L1377" s="1"/>
    </row>
    <row r="1378" spans="1:12" ht="18" customHeight="1" x14ac:dyDescent="0.15">
      <c r="A1378" s="11">
        <v>2535</v>
      </c>
      <c r="B1378" s="11" t="s">
        <v>53</v>
      </c>
      <c r="C1378" s="11" t="s">
        <v>156</v>
      </c>
      <c r="D1378" s="11">
        <v>1</v>
      </c>
      <c r="E1378" s="11" t="s">
        <v>4</v>
      </c>
      <c r="F1378" s="12">
        <v>20600</v>
      </c>
      <c r="G1378" s="12">
        <v>20600</v>
      </c>
      <c r="H1378" s="11" t="str">
        <f t="shared" si="46"/>
        <v>平成4年12月5日</v>
      </c>
      <c r="I1378" s="22">
        <f t="shared" si="47"/>
        <v>33943</v>
      </c>
      <c r="J1378" s="1" t="str">
        <f>"00741463"</f>
        <v>00741463</v>
      </c>
      <c r="K1378" s="1" t="str">
        <f>"１２５４　　　　　　　　　　　　　　　　"</f>
        <v>１２５４　　　　　　　　　　　　　　　　</v>
      </c>
      <c r="L1378" s="1"/>
    </row>
    <row r="1379" spans="1:12" ht="18" customHeight="1" x14ac:dyDescent="0.15">
      <c r="A1379" s="11">
        <v>2536</v>
      </c>
      <c r="B1379" s="11" t="s">
        <v>53</v>
      </c>
      <c r="C1379" s="11" t="s">
        <v>156</v>
      </c>
      <c r="D1379" s="11">
        <v>1</v>
      </c>
      <c r="E1379" s="11" t="s">
        <v>4</v>
      </c>
      <c r="F1379" s="12">
        <v>20600</v>
      </c>
      <c r="G1379" s="12">
        <v>20600</v>
      </c>
      <c r="H1379" s="11" t="str">
        <f t="shared" si="46"/>
        <v>平成4年12月5日</v>
      </c>
      <c r="I1379" s="22">
        <f t="shared" si="47"/>
        <v>33943</v>
      </c>
      <c r="J1379" s="1" t="str">
        <f>"00741465"</f>
        <v>00741465</v>
      </c>
      <c r="K1379" s="1" t="str">
        <f>"１２５５　　　　　　　　　　　　　　　　"</f>
        <v>１２５５　　　　　　　　　　　　　　　　</v>
      </c>
      <c r="L1379" s="1"/>
    </row>
    <row r="1380" spans="1:12" ht="18" customHeight="1" x14ac:dyDescent="0.15">
      <c r="A1380" s="11">
        <v>2537</v>
      </c>
      <c r="B1380" s="11" t="s">
        <v>53</v>
      </c>
      <c r="C1380" s="11" t="s">
        <v>156</v>
      </c>
      <c r="D1380" s="11">
        <v>1</v>
      </c>
      <c r="E1380" s="11" t="s">
        <v>4</v>
      </c>
      <c r="F1380" s="12">
        <v>20600</v>
      </c>
      <c r="G1380" s="12">
        <v>20600</v>
      </c>
      <c r="H1380" s="11" t="str">
        <f t="shared" si="46"/>
        <v>平成4年12月5日</v>
      </c>
      <c r="I1380" s="22">
        <f t="shared" si="47"/>
        <v>33943</v>
      </c>
      <c r="J1380" s="1" t="str">
        <f>"00741467"</f>
        <v>00741467</v>
      </c>
      <c r="K1380" s="1" t="str">
        <f>"１２５６　　　　　　　　　　　　　　　　"</f>
        <v>１２５６　　　　　　　　　　　　　　　　</v>
      </c>
      <c r="L1380" s="1"/>
    </row>
    <row r="1381" spans="1:12" ht="18" customHeight="1" x14ac:dyDescent="0.15">
      <c r="A1381" s="11">
        <v>2538</v>
      </c>
      <c r="B1381" s="11" t="s">
        <v>53</v>
      </c>
      <c r="C1381" s="11" t="s">
        <v>156</v>
      </c>
      <c r="D1381" s="11">
        <v>1</v>
      </c>
      <c r="E1381" s="11" t="s">
        <v>4</v>
      </c>
      <c r="F1381" s="12">
        <v>20600</v>
      </c>
      <c r="G1381" s="12">
        <v>20600</v>
      </c>
      <c r="H1381" s="11" t="str">
        <f t="shared" si="46"/>
        <v>平成4年12月5日</v>
      </c>
      <c r="I1381" s="22">
        <f t="shared" si="47"/>
        <v>33943</v>
      </c>
      <c r="J1381" s="1" t="str">
        <f>"00741469"</f>
        <v>00741469</v>
      </c>
      <c r="K1381" s="1" t="str">
        <f>"１２５７　　　　　　　　　　　　　　　　"</f>
        <v>１２５７　　　　　　　　　　　　　　　　</v>
      </c>
      <c r="L1381" s="1"/>
    </row>
    <row r="1382" spans="1:12" ht="18" customHeight="1" x14ac:dyDescent="0.15">
      <c r="A1382" s="11">
        <v>2539</v>
      </c>
      <c r="B1382" s="11" t="s">
        <v>53</v>
      </c>
      <c r="C1382" s="11" t="s">
        <v>156</v>
      </c>
      <c r="D1382" s="11">
        <v>1</v>
      </c>
      <c r="E1382" s="11" t="s">
        <v>4</v>
      </c>
      <c r="F1382" s="12">
        <v>20600</v>
      </c>
      <c r="G1382" s="12">
        <v>20600</v>
      </c>
      <c r="H1382" s="11" t="str">
        <f t="shared" si="46"/>
        <v>平成4年12月5日</v>
      </c>
      <c r="I1382" s="22">
        <f t="shared" si="47"/>
        <v>33943</v>
      </c>
      <c r="J1382" s="1" t="str">
        <f>"00741471"</f>
        <v>00741471</v>
      </c>
      <c r="K1382" s="1" t="str">
        <f>"１２５９　　　　　　　　　　　　　　　　"</f>
        <v>１２５９　　　　　　　　　　　　　　　　</v>
      </c>
      <c r="L1382" s="1"/>
    </row>
    <row r="1383" spans="1:12" ht="18" customHeight="1" x14ac:dyDescent="0.15">
      <c r="A1383" s="11">
        <v>2540</v>
      </c>
      <c r="B1383" s="11" t="s">
        <v>53</v>
      </c>
      <c r="C1383" s="11" t="s">
        <v>156</v>
      </c>
      <c r="D1383" s="11">
        <v>1</v>
      </c>
      <c r="E1383" s="11" t="s">
        <v>4</v>
      </c>
      <c r="F1383" s="12">
        <v>20600</v>
      </c>
      <c r="G1383" s="12">
        <v>20600</v>
      </c>
      <c r="H1383" s="11" t="str">
        <f t="shared" si="46"/>
        <v>平成4年12月5日</v>
      </c>
      <c r="I1383" s="22">
        <f t="shared" si="47"/>
        <v>33943</v>
      </c>
      <c r="J1383" s="1" t="str">
        <f>"00741473"</f>
        <v>00741473</v>
      </c>
      <c r="K1383" s="1" t="str">
        <f>"１２６０　　　　　　　　　　　　　　　　"</f>
        <v>１２６０　　　　　　　　　　　　　　　　</v>
      </c>
      <c r="L1383" s="1"/>
    </row>
    <row r="1384" spans="1:12" ht="18" customHeight="1" x14ac:dyDescent="0.15">
      <c r="A1384" s="11">
        <v>2541</v>
      </c>
      <c r="B1384" s="11" t="s">
        <v>53</v>
      </c>
      <c r="C1384" s="11" t="s">
        <v>156</v>
      </c>
      <c r="D1384" s="11">
        <v>1</v>
      </c>
      <c r="E1384" s="11" t="s">
        <v>4</v>
      </c>
      <c r="F1384" s="12">
        <v>20600</v>
      </c>
      <c r="G1384" s="12">
        <v>20600</v>
      </c>
      <c r="H1384" s="11" t="str">
        <f t="shared" si="46"/>
        <v>平成4年12月5日</v>
      </c>
      <c r="I1384" s="22">
        <f t="shared" si="47"/>
        <v>33943</v>
      </c>
      <c r="J1384" s="1" t="str">
        <f>"00741475"</f>
        <v>00741475</v>
      </c>
      <c r="K1384" s="1" t="str">
        <f>"１２６１　　　　　　　　　　　　　　　　"</f>
        <v>１２６１　　　　　　　　　　　　　　　　</v>
      </c>
      <c r="L1384" s="1"/>
    </row>
    <row r="1385" spans="1:12" ht="18" customHeight="1" x14ac:dyDescent="0.15">
      <c r="A1385" s="11">
        <v>2542</v>
      </c>
      <c r="B1385" s="11" t="s">
        <v>53</v>
      </c>
      <c r="C1385" s="11" t="s">
        <v>156</v>
      </c>
      <c r="D1385" s="11">
        <v>1</v>
      </c>
      <c r="E1385" s="11" t="s">
        <v>4</v>
      </c>
      <c r="F1385" s="12">
        <v>20600</v>
      </c>
      <c r="G1385" s="12">
        <v>20600</v>
      </c>
      <c r="H1385" s="11" t="str">
        <f t="shared" si="46"/>
        <v>平成4年12月5日</v>
      </c>
      <c r="I1385" s="22">
        <f t="shared" si="47"/>
        <v>33943</v>
      </c>
      <c r="J1385" s="1" t="str">
        <f>"00741477"</f>
        <v>00741477</v>
      </c>
      <c r="K1385" s="1" t="str">
        <f>"１２６２　　　　　　　　　　　　　　　　"</f>
        <v>１２６２　　　　　　　　　　　　　　　　</v>
      </c>
      <c r="L1385" s="1"/>
    </row>
    <row r="1386" spans="1:12" ht="18" customHeight="1" x14ac:dyDescent="0.15">
      <c r="A1386" s="11">
        <v>2543</v>
      </c>
      <c r="B1386" s="11" t="s">
        <v>53</v>
      </c>
      <c r="C1386" s="11" t="s">
        <v>156</v>
      </c>
      <c r="D1386" s="11">
        <v>1</v>
      </c>
      <c r="E1386" s="11" t="s">
        <v>4</v>
      </c>
      <c r="F1386" s="12">
        <v>20600</v>
      </c>
      <c r="G1386" s="12">
        <v>20600</v>
      </c>
      <c r="H1386" s="11" t="str">
        <f t="shared" si="46"/>
        <v>平成4年12月5日</v>
      </c>
      <c r="I1386" s="22">
        <f t="shared" si="47"/>
        <v>33943</v>
      </c>
      <c r="J1386" s="1" t="str">
        <f>"00741479"</f>
        <v>00741479</v>
      </c>
      <c r="K1386" s="1" t="str">
        <f>"１２６３　　　　　　　　　　　　　　　　"</f>
        <v>１２６３　　　　　　　　　　　　　　　　</v>
      </c>
      <c r="L1386" s="1"/>
    </row>
    <row r="1387" spans="1:12" ht="18" customHeight="1" x14ac:dyDescent="0.15">
      <c r="A1387" s="11">
        <v>2544</v>
      </c>
      <c r="B1387" s="11" t="s">
        <v>53</v>
      </c>
      <c r="C1387" s="11" t="s">
        <v>156</v>
      </c>
      <c r="D1387" s="11">
        <v>1</v>
      </c>
      <c r="E1387" s="11" t="s">
        <v>4</v>
      </c>
      <c r="F1387" s="12">
        <v>20600</v>
      </c>
      <c r="G1387" s="12">
        <v>20600</v>
      </c>
      <c r="H1387" s="11" t="str">
        <f t="shared" si="46"/>
        <v>平成4年12月5日</v>
      </c>
      <c r="I1387" s="22">
        <f t="shared" si="47"/>
        <v>33943</v>
      </c>
      <c r="J1387" s="1" t="str">
        <f>"00741481"</f>
        <v>00741481</v>
      </c>
      <c r="K1387" s="1" t="str">
        <f>"１２６４　　　　　　　　　　　　　　　　"</f>
        <v>１２６４　　　　　　　　　　　　　　　　</v>
      </c>
      <c r="L1387" s="1"/>
    </row>
    <row r="1388" spans="1:12" ht="18" customHeight="1" x14ac:dyDescent="0.15">
      <c r="A1388" s="11">
        <v>2545</v>
      </c>
      <c r="B1388" s="11" t="s">
        <v>53</v>
      </c>
      <c r="C1388" s="11" t="s">
        <v>156</v>
      </c>
      <c r="D1388" s="11">
        <v>1</v>
      </c>
      <c r="E1388" s="11" t="s">
        <v>4</v>
      </c>
      <c r="F1388" s="12">
        <v>20600</v>
      </c>
      <c r="G1388" s="12">
        <v>20600</v>
      </c>
      <c r="H1388" s="11" t="str">
        <f t="shared" si="46"/>
        <v>平成4年12月5日</v>
      </c>
      <c r="I1388" s="22">
        <f t="shared" si="47"/>
        <v>33943</v>
      </c>
      <c r="J1388" s="1" t="str">
        <f>"00741483"</f>
        <v>00741483</v>
      </c>
      <c r="K1388" s="1" t="str">
        <f>"１２６５　　　　　　　　　　　　　　　　"</f>
        <v>１２６５　　　　　　　　　　　　　　　　</v>
      </c>
      <c r="L1388" s="1"/>
    </row>
    <row r="1389" spans="1:12" ht="18" customHeight="1" x14ac:dyDescent="0.15">
      <c r="A1389" s="11">
        <v>2546</v>
      </c>
      <c r="B1389" s="11" t="s">
        <v>53</v>
      </c>
      <c r="C1389" s="11" t="s">
        <v>156</v>
      </c>
      <c r="D1389" s="11">
        <v>1</v>
      </c>
      <c r="E1389" s="11" t="s">
        <v>4</v>
      </c>
      <c r="F1389" s="12">
        <v>20600</v>
      </c>
      <c r="G1389" s="12">
        <v>20600</v>
      </c>
      <c r="H1389" s="11" t="str">
        <f t="shared" si="46"/>
        <v>平成4年12月5日</v>
      </c>
      <c r="I1389" s="22">
        <f t="shared" si="47"/>
        <v>33943</v>
      </c>
      <c r="J1389" s="1" t="str">
        <f>"00741485"</f>
        <v>00741485</v>
      </c>
      <c r="K1389" s="1" t="str">
        <f>"１２６６　　　　　　　　　　　　　　　　"</f>
        <v>１２６６　　　　　　　　　　　　　　　　</v>
      </c>
      <c r="L1389" s="1"/>
    </row>
    <row r="1390" spans="1:12" ht="18" customHeight="1" x14ac:dyDescent="0.15">
      <c r="A1390" s="11">
        <v>2547</v>
      </c>
      <c r="B1390" s="11" t="s">
        <v>53</v>
      </c>
      <c r="C1390" s="11" t="s">
        <v>156</v>
      </c>
      <c r="D1390" s="11">
        <v>1</v>
      </c>
      <c r="E1390" s="11" t="s">
        <v>4</v>
      </c>
      <c r="F1390" s="12">
        <v>20600</v>
      </c>
      <c r="G1390" s="12">
        <v>20600</v>
      </c>
      <c r="H1390" s="11" t="str">
        <f t="shared" ref="H1390:H1453" si="48">"平成4年12月5日"</f>
        <v>平成4年12月5日</v>
      </c>
      <c r="I1390" s="22">
        <f t="shared" si="47"/>
        <v>33943</v>
      </c>
      <c r="J1390" s="1" t="str">
        <f>"00741487"</f>
        <v>00741487</v>
      </c>
      <c r="K1390" s="1" t="str">
        <f>"１２６７　　　　　　　　　　　　　　　　"</f>
        <v>１２６７　　　　　　　　　　　　　　　　</v>
      </c>
      <c r="L1390" s="1"/>
    </row>
    <row r="1391" spans="1:12" ht="18" customHeight="1" x14ac:dyDescent="0.15">
      <c r="A1391" s="11">
        <v>2548</v>
      </c>
      <c r="B1391" s="11" t="s">
        <v>53</v>
      </c>
      <c r="C1391" s="11" t="s">
        <v>156</v>
      </c>
      <c r="D1391" s="11">
        <v>1</v>
      </c>
      <c r="E1391" s="11" t="s">
        <v>4</v>
      </c>
      <c r="F1391" s="12">
        <v>20600</v>
      </c>
      <c r="G1391" s="12">
        <v>20600</v>
      </c>
      <c r="H1391" s="11" t="str">
        <f t="shared" si="48"/>
        <v>平成4年12月5日</v>
      </c>
      <c r="I1391" s="22">
        <f t="shared" si="47"/>
        <v>33943</v>
      </c>
      <c r="J1391" s="1" t="str">
        <f>"00741489"</f>
        <v>00741489</v>
      </c>
      <c r="K1391" s="1" t="str">
        <f>"１２６８　　　　　　　　　　　　　　　　"</f>
        <v>１２６８　　　　　　　　　　　　　　　　</v>
      </c>
      <c r="L1391" s="1"/>
    </row>
    <row r="1392" spans="1:12" ht="18" customHeight="1" x14ac:dyDescent="0.15">
      <c r="A1392" s="11">
        <v>2549</v>
      </c>
      <c r="B1392" s="11" t="s">
        <v>53</v>
      </c>
      <c r="C1392" s="11" t="s">
        <v>156</v>
      </c>
      <c r="D1392" s="11">
        <v>1</v>
      </c>
      <c r="E1392" s="11" t="s">
        <v>4</v>
      </c>
      <c r="F1392" s="12">
        <v>20600</v>
      </c>
      <c r="G1392" s="12">
        <v>20600</v>
      </c>
      <c r="H1392" s="11" t="str">
        <f t="shared" si="48"/>
        <v>平成4年12月5日</v>
      </c>
      <c r="I1392" s="22">
        <f t="shared" si="47"/>
        <v>33943</v>
      </c>
      <c r="J1392" s="1" t="str">
        <f>"00741491"</f>
        <v>00741491</v>
      </c>
      <c r="K1392" s="1" t="str">
        <f>"１２６９　　　　　　　　　　　　　　　　"</f>
        <v>１２６９　　　　　　　　　　　　　　　　</v>
      </c>
      <c r="L1392" s="1"/>
    </row>
    <row r="1393" spans="1:12" ht="18" customHeight="1" x14ac:dyDescent="0.15">
      <c r="A1393" s="11">
        <v>2550</v>
      </c>
      <c r="B1393" s="11" t="s">
        <v>53</v>
      </c>
      <c r="C1393" s="11" t="s">
        <v>156</v>
      </c>
      <c r="D1393" s="11">
        <v>1</v>
      </c>
      <c r="E1393" s="11" t="s">
        <v>4</v>
      </c>
      <c r="F1393" s="12">
        <v>20600</v>
      </c>
      <c r="G1393" s="12">
        <v>20600</v>
      </c>
      <c r="H1393" s="11" t="str">
        <f t="shared" si="48"/>
        <v>平成4年12月5日</v>
      </c>
      <c r="I1393" s="22">
        <f t="shared" si="47"/>
        <v>33943</v>
      </c>
      <c r="J1393" s="1" t="str">
        <f>"00741493"</f>
        <v>00741493</v>
      </c>
      <c r="K1393" s="1" t="str">
        <f>"１２７０　　　　　　　　　　　　　　　　"</f>
        <v>１２７０　　　　　　　　　　　　　　　　</v>
      </c>
      <c r="L1393" s="1"/>
    </row>
    <row r="1394" spans="1:12" ht="18" customHeight="1" x14ac:dyDescent="0.15">
      <c r="A1394" s="11">
        <v>2551</v>
      </c>
      <c r="B1394" s="11" t="s">
        <v>53</v>
      </c>
      <c r="C1394" s="11" t="s">
        <v>156</v>
      </c>
      <c r="D1394" s="11">
        <v>1</v>
      </c>
      <c r="E1394" s="11" t="s">
        <v>4</v>
      </c>
      <c r="F1394" s="12">
        <v>20600</v>
      </c>
      <c r="G1394" s="12">
        <v>20600</v>
      </c>
      <c r="H1394" s="11" t="str">
        <f t="shared" si="48"/>
        <v>平成4年12月5日</v>
      </c>
      <c r="I1394" s="22">
        <f t="shared" si="47"/>
        <v>33943</v>
      </c>
      <c r="J1394" s="1" t="str">
        <f>"00741495"</f>
        <v>00741495</v>
      </c>
      <c r="K1394" s="1" t="str">
        <f>"１２７１　　　　　　　　　　　　　　　　"</f>
        <v>１２７１　　　　　　　　　　　　　　　　</v>
      </c>
      <c r="L1394" s="1"/>
    </row>
    <row r="1395" spans="1:12" ht="18" customHeight="1" x14ac:dyDescent="0.15">
      <c r="A1395" s="11">
        <v>2552</v>
      </c>
      <c r="B1395" s="11" t="s">
        <v>53</v>
      </c>
      <c r="C1395" s="11" t="s">
        <v>156</v>
      </c>
      <c r="D1395" s="11">
        <v>1</v>
      </c>
      <c r="E1395" s="11" t="s">
        <v>4</v>
      </c>
      <c r="F1395" s="12">
        <v>20600</v>
      </c>
      <c r="G1395" s="12">
        <v>20600</v>
      </c>
      <c r="H1395" s="11" t="str">
        <f t="shared" si="48"/>
        <v>平成4年12月5日</v>
      </c>
      <c r="I1395" s="22">
        <f t="shared" si="47"/>
        <v>33943</v>
      </c>
      <c r="J1395" s="1" t="str">
        <f>"00741497"</f>
        <v>00741497</v>
      </c>
      <c r="K1395" s="1" t="str">
        <f>"１２７２　　　　　　　　　　　　　　　　"</f>
        <v>１２７２　　　　　　　　　　　　　　　　</v>
      </c>
      <c r="L1395" s="1"/>
    </row>
    <row r="1396" spans="1:12" ht="18" customHeight="1" x14ac:dyDescent="0.15">
      <c r="A1396" s="11">
        <v>2553</v>
      </c>
      <c r="B1396" s="11" t="s">
        <v>53</v>
      </c>
      <c r="C1396" s="11" t="s">
        <v>156</v>
      </c>
      <c r="D1396" s="11">
        <v>1</v>
      </c>
      <c r="E1396" s="11" t="s">
        <v>4</v>
      </c>
      <c r="F1396" s="12">
        <v>20600</v>
      </c>
      <c r="G1396" s="12">
        <v>20600</v>
      </c>
      <c r="H1396" s="11" t="str">
        <f t="shared" si="48"/>
        <v>平成4年12月5日</v>
      </c>
      <c r="I1396" s="22">
        <f t="shared" si="47"/>
        <v>33943</v>
      </c>
      <c r="J1396" s="1" t="str">
        <f>"00741499"</f>
        <v>00741499</v>
      </c>
      <c r="K1396" s="1" t="str">
        <f>"１２７３　　　　　　　　　　　　　　　　"</f>
        <v>１２７３　　　　　　　　　　　　　　　　</v>
      </c>
      <c r="L1396" s="1"/>
    </row>
    <row r="1397" spans="1:12" ht="18" customHeight="1" x14ac:dyDescent="0.15">
      <c r="A1397" s="11">
        <v>2554</v>
      </c>
      <c r="B1397" s="11" t="s">
        <v>53</v>
      </c>
      <c r="C1397" s="11" t="s">
        <v>156</v>
      </c>
      <c r="D1397" s="11">
        <v>1</v>
      </c>
      <c r="E1397" s="11" t="s">
        <v>4</v>
      </c>
      <c r="F1397" s="12">
        <v>20600</v>
      </c>
      <c r="G1397" s="12">
        <v>20600</v>
      </c>
      <c r="H1397" s="11" t="str">
        <f t="shared" si="48"/>
        <v>平成4年12月5日</v>
      </c>
      <c r="I1397" s="22">
        <f t="shared" si="47"/>
        <v>33943</v>
      </c>
      <c r="J1397" s="1" t="str">
        <f>"00741501"</f>
        <v>00741501</v>
      </c>
      <c r="K1397" s="1" t="str">
        <f>"１２７４　　　　　　　　　　　　　　　　"</f>
        <v>１２７４　　　　　　　　　　　　　　　　</v>
      </c>
      <c r="L1397" s="1"/>
    </row>
    <row r="1398" spans="1:12" ht="18" customHeight="1" x14ac:dyDescent="0.15">
      <c r="A1398" s="11">
        <v>2555</v>
      </c>
      <c r="B1398" s="11" t="s">
        <v>53</v>
      </c>
      <c r="C1398" s="11" t="s">
        <v>156</v>
      </c>
      <c r="D1398" s="11">
        <v>1</v>
      </c>
      <c r="E1398" s="11" t="s">
        <v>4</v>
      </c>
      <c r="F1398" s="12">
        <v>20600</v>
      </c>
      <c r="G1398" s="12">
        <v>20600</v>
      </c>
      <c r="H1398" s="11" t="str">
        <f t="shared" si="48"/>
        <v>平成4年12月5日</v>
      </c>
      <c r="I1398" s="22">
        <f t="shared" si="47"/>
        <v>33943</v>
      </c>
      <c r="J1398" s="1" t="str">
        <f>"00741503"</f>
        <v>00741503</v>
      </c>
      <c r="K1398" s="1" t="str">
        <f>"１２７５　　　　　　　　　　　　　　　　"</f>
        <v>１２７５　　　　　　　　　　　　　　　　</v>
      </c>
      <c r="L1398" s="1"/>
    </row>
    <row r="1399" spans="1:12" ht="18" customHeight="1" x14ac:dyDescent="0.15">
      <c r="A1399" s="11">
        <v>2556</v>
      </c>
      <c r="B1399" s="11" t="s">
        <v>53</v>
      </c>
      <c r="C1399" s="11" t="s">
        <v>156</v>
      </c>
      <c r="D1399" s="11">
        <v>1</v>
      </c>
      <c r="E1399" s="11" t="s">
        <v>4</v>
      </c>
      <c r="F1399" s="12">
        <v>20600</v>
      </c>
      <c r="G1399" s="12">
        <v>20600</v>
      </c>
      <c r="H1399" s="11" t="str">
        <f t="shared" si="48"/>
        <v>平成4年12月5日</v>
      </c>
      <c r="I1399" s="22">
        <f t="shared" si="47"/>
        <v>33943</v>
      </c>
      <c r="J1399" s="1" t="str">
        <f>"00741505"</f>
        <v>00741505</v>
      </c>
      <c r="K1399" s="1" t="str">
        <f>"１２７６　　　　　　　　　　　　　　　　"</f>
        <v>１２７６　　　　　　　　　　　　　　　　</v>
      </c>
      <c r="L1399" s="1"/>
    </row>
    <row r="1400" spans="1:12" ht="18" customHeight="1" x14ac:dyDescent="0.15">
      <c r="A1400" s="11">
        <v>2557</v>
      </c>
      <c r="B1400" s="11" t="s">
        <v>53</v>
      </c>
      <c r="C1400" s="11" t="s">
        <v>156</v>
      </c>
      <c r="D1400" s="11">
        <v>1</v>
      </c>
      <c r="E1400" s="11" t="s">
        <v>4</v>
      </c>
      <c r="F1400" s="12">
        <v>20600</v>
      </c>
      <c r="G1400" s="12">
        <v>20600</v>
      </c>
      <c r="H1400" s="11" t="str">
        <f t="shared" si="48"/>
        <v>平成4年12月5日</v>
      </c>
      <c r="I1400" s="22">
        <f t="shared" si="47"/>
        <v>33943</v>
      </c>
      <c r="J1400" s="1" t="str">
        <f>"00741507"</f>
        <v>00741507</v>
      </c>
      <c r="K1400" s="1" t="str">
        <f>"１２７７　　　　　　　　　　　　　　　　"</f>
        <v>１２７７　　　　　　　　　　　　　　　　</v>
      </c>
      <c r="L1400" s="1"/>
    </row>
    <row r="1401" spans="1:12" ht="18" customHeight="1" x14ac:dyDescent="0.15">
      <c r="A1401" s="11">
        <v>2558</v>
      </c>
      <c r="B1401" s="11" t="s">
        <v>53</v>
      </c>
      <c r="C1401" s="11" t="s">
        <v>156</v>
      </c>
      <c r="D1401" s="11">
        <v>1</v>
      </c>
      <c r="E1401" s="11" t="s">
        <v>4</v>
      </c>
      <c r="F1401" s="12">
        <v>20600</v>
      </c>
      <c r="G1401" s="12">
        <v>20600</v>
      </c>
      <c r="H1401" s="11" t="str">
        <f t="shared" si="48"/>
        <v>平成4年12月5日</v>
      </c>
      <c r="I1401" s="22">
        <f t="shared" si="47"/>
        <v>33943</v>
      </c>
      <c r="J1401" s="1" t="str">
        <f>"00741509"</f>
        <v>00741509</v>
      </c>
      <c r="K1401" s="1" t="str">
        <f>"１２７８　　　　　　　　　　　　　　　　"</f>
        <v>１２７８　　　　　　　　　　　　　　　　</v>
      </c>
      <c r="L1401" s="1"/>
    </row>
    <row r="1402" spans="1:12" ht="18" customHeight="1" x14ac:dyDescent="0.15">
      <c r="A1402" s="11">
        <v>2559</v>
      </c>
      <c r="B1402" s="11" t="s">
        <v>53</v>
      </c>
      <c r="C1402" s="11" t="s">
        <v>156</v>
      </c>
      <c r="D1402" s="11">
        <v>1</v>
      </c>
      <c r="E1402" s="11" t="s">
        <v>4</v>
      </c>
      <c r="F1402" s="12">
        <v>20600</v>
      </c>
      <c r="G1402" s="12">
        <v>20600</v>
      </c>
      <c r="H1402" s="11" t="str">
        <f t="shared" si="48"/>
        <v>平成4年12月5日</v>
      </c>
      <c r="I1402" s="22">
        <f t="shared" si="47"/>
        <v>33943</v>
      </c>
      <c r="J1402" s="1" t="str">
        <f>"00741511"</f>
        <v>00741511</v>
      </c>
      <c r="K1402" s="1" t="str">
        <f>"１２８０　　　　　　　　　　　　　　　　"</f>
        <v>１２８０　　　　　　　　　　　　　　　　</v>
      </c>
      <c r="L1402" s="1"/>
    </row>
    <row r="1403" spans="1:12" ht="18" customHeight="1" x14ac:dyDescent="0.15">
      <c r="A1403" s="11">
        <v>2560</v>
      </c>
      <c r="B1403" s="11" t="s">
        <v>53</v>
      </c>
      <c r="C1403" s="11" t="s">
        <v>156</v>
      </c>
      <c r="D1403" s="11">
        <v>1</v>
      </c>
      <c r="E1403" s="11" t="s">
        <v>4</v>
      </c>
      <c r="F1403" s="12">
        <v>20600</v>
      </c>
      <c r="G1403" s="12">
        <v>20600</v>
      </c>
      <c r="H1403" s="11" t="str">
        <f t="shared" si="48"/>
        <v>平成4年12月5日</v>
      </c>
      <c r="I1403" s="22">
        <f t="shared" si="47"/>
        <v>33943</v>
      </c>
      <c r="J1403" s="1" t="str">
        <f>"00741513"</f>
        <v>00741513</v>
      </c>
      <c r="K1403" s="1" t="str">
        <f>"１２８１　　　　　　　　　　　　　　　　"</f>
        <v>１２８１　　　　　　　　　　　　　　　　</v>
      </c>
      <c r="L1403" s="1"/>
    </row>
    <row r="1404" spans="1:12" ht="18" customHeight="1" x14ac:dyDescent="0.15">
      <c r="A1404" s="11">
        <v>2561</v>
      </c>
      <c r="B1404" s="11" t="s">
        <v>53</v>
      </c>
      <c r="C1404" s="11" t="s">
        <v>156</v>
      </c>
      <c r="D1404" s="11">
        <v>1</v>
      </c>
      <c r="E1404" s="11" t="s">
        <v>4</v>
      </c>
      <c r="F1404" s="12">
        <v>20600</v>
      </c>
      <c r="G1404" s="12">
        <v>20600</v>
      </c>
      <c r="H1404" s="11" t="str">
        <f t="shared" si="48"/>
        <v>平成4年12月5日</v>
      </c>
      <c r="I1404" s="22">
        <f t="shared" si="47"/>
        <v>33943</v>
      </c>
      <c r="J1404" s="1" t="str">
        <f>"00741515"</f>
        <v>00741515</v>
      </c>
      <c r="K1404" s="1" t="str">
        <f>"１２８２　　　　　　　　　　　　　　　　"</f>
        <v>１２８２　　　　　　　　　　　　　　　　</v>
      </c>
      <c r="L1404" s="1"/>
    </row>
    <row r="1405" spans="1:12" ht="18" customHeight="1" x14ac:dyDescent="0.15">
      <c r="A1405" s="11">
        <v>2562</v>
      </c>
      <c r="B1405" s="11" t="s">
        <v>53</v>
      </c>
      <c r="C1405" s="11" t="s">
        <v>156</v>
      </c>
      <c r="D1405" s="11">
        <v>1</v>
      </c>
      <c r="E1405" s="11" t="s">
        <v>4</v>
      </c>
      <c r="F1405" s="12">
        <v>20600</v>
      </c>
      <c r="G1405" s="12">
        <v>20600</v>
      </c>
      <c r="H1405" s="11" t="str">
        <f t="shared" si="48"/>
        <v>平成4年12月5日</v>
      </c>
      <c r="I1405" s="22">
        <f t="shared" si="47"/>
        <v>33943</v>
      </c>
      <c r="J1405" s="1" t="str">
        <f>"00741517"</f>
        <v>00741517</v>
      </c>
      <c r="K1405" s="1" t="str">
        <f>"１２８３　　　　　　　　　　　　　　　　"</f>
        <v>１２８３　　　　　　　　　　　　　　　　</v>
      </c>
      <c r="L1405" s="1"/>
    </row>
    <row r="1406" spans="1:12" ht="18" customHeight="1" x14ac:dyDescent="0.15">
      <c r="A1406" s="11">
        <v>2563</v>
      </c>
      <c r="B1406" s="11" t="s">
        <v>53</v>
      </c>
      <c r="C1406" s="11" t="s">
        <v>156</v>
      </c>
      <c r="D1406" s="11">
        <v>1</v>
      </c>
      <c r="E1406" s="11" t="s">
        <v>4</v>
      </c>
      <c r="F1406" s="12">
        <v>20600</v>
      </c>
      <c r="G1406" s="12">
        <v>20600</v>
      </c>
      <c r="H1406" s="11" t="str">
        <f t="shared" si="48"/>
        <v>平成4年12月5日</v>
      </c>
      <c r="I1406" s="22">
        <f t="shared" si="47"/>
        <v>33943</v>
      </c>
      <c r="J1406" s="1" t="str">
        <f>"00741519"</f>
        <v>00741519</v>
      </c>
      <c r="K1406" s="1" t="str">
        <f>"１２８４　　　　　　　　　　　　　　　　"</f>
        <v>１２８４　　　　　　　　　　　　　　　　</v>
      </c>
      <c r="L1406" s="1"/>
    </row>
    <row r="1407" spans="1:12" ht="18" customHeight="1" x14ac:dyDescent="0.15">
      <c r="A1407" s="11">
        <v>2564</v>
      </c>
      <c r="B1407" s="11" t="s">
        <v>53</v>
      </c>
      <c r="C1407" s="11" t="s">
        <v>156</v>
      </c>
      <c r="D1407" s="11">
        <v>1</v>
      </c>
      <c r="E1407" s="11" t="s">
        <v>4</v>
      </c>
      <c r="F1407" s="12">
        <v>20600</v>
      </c>
      <c r="G1407" s="12">
        <v>20600</v>
      </c>
      <c r="H1407" s="11" t="str">
        <f t="shared" si="48"/>
        <v>平成4年12月5日</v>
      </c>
      <c r="I1407" s="22">
        <f t="shared" si="47"/>
        <v>33943</v>
      </c>
      <c r="J1407" s="1" t="str">
        <f>"00741521"</f>
        <v>00741521</v>
      </c>
      <c r="K1407" s="1" t="str">
        <f>"１２８５　　　　　　　　　　　　　　　　"</f>
        <v>１２８５　　　　　　　　　　　　　　　　</v>
      </c>
      <c r="L1407" s="1"/>
    </row>
    <row r="1408" spans="1:12" ht="18" customHeight="1" x14ac:dyDescent="0.15">
      <c r="A1408" s="11">
        <v>2565</v>
      </c>
      <c r="B1408" s="11" t="s">
        <v>53</v>
      </c>
      <c r="C1408" s="11" t="s">
        <v>156</v>
      </c>
      <c r="D1408" s="11">
        <v>1</v>
      </c>
      <c r="E1408" s="11" t="s">
        <v>4</v>
      </c>
      <c r="F1408" s="12">
        <v>20600</v>
      </c>
      <c r="G1408" s="12">
        <v>20600</v>
      </c>
      <c r="H1408" s="11" t="str">
        <f t="shared" si="48"/>
        <v>平成4年12月5日</v>
      </c>
      <c r="I1408" s="22">
        <f t="shared" si="47"/>
        <v>33943</v>
      </c>
      <c r="J1408" s="1" t="str">
        <f>"00741523"</f>
        <v>00741523</v>
      </c>
      <c r="K1408" s="1" t="str">
        <f>"１２８６　　　　　　　　　　　　　　　　"</f>
        <v>１２８６　　　　　　　　　　　　　　　　</v>
      </c>
      <c r="L1408" s="1"/>
    </row>
    <row r="1409" spans="1:12" ht="18" customHeight="1" x14ac:dyDescent="0.15">
      <c r="A1409" s="11">
        <v>2566</v>
      </c>
      <c r="B1409" s="11" t="s">
        <v>53</v>
      </c>
      <c r="C1409" s="11" t="s">
        <v>156</v>
      </c>
      <c r="D1409" s="11">
        <v>1</v>
      </c>
      <c r="E1409" s="11" t="s">
        <v>4</v>
      </c>
      <c r="F1409" s="12">
        <v>20600</v>
      </c>
      <c r="G1409" s="12">
        <v>20600</v>
      </c>
      <c r="H1409" s="11" t="str">
        <f t="shared" si="48"/>
        <v>平成4年12月5日</v>
      </c>
      <c r="I1409" s="22">
        <f t="shared" si="47"/>
        <v>33943</v>
      </c>
      <c r="J1409" s="1" t="str">
        <f>"00741525"</f>
        <v>00741525</v>
      </c>
      <c r="K1409" s="1" t="str">
        <f>"１２８７　　　　　　　　　　　　　　　　"</f>
        <v>１２８７　　　　　　　　　　　　　　　　</v>
      </c>
      <c r="L1409" s="1"/>
    </row>
    <row r="1410" spans="1:12" ht="18" customHeight="1" x14ac:dyDescent="0.15">
      <c r="A1410" s="11">
        <v>2567</v>
      </c>
      <c r="B1410" s="11" t="s">
        <v>53</v>
      </c>
      <c r="C1410" s="11" t="s">
        <v>156</v>
      </c>
      <c r="D1410" s="11">
        <v>1</v>
      </c>
      <c r="E1410" s="11" t="s">
        <v>4</v>
      </c>
      <c r="F1410" s="12">
        <v>20600</v>
      </c>
      <c r="G1410" s="12">
        <v>20600</v>
      </c>
      <c r="H1410" s="11" t="str">
        <f t="shared" si="48"/>
        <v>平成4年12月5日</v>
      </c>
      <c r="I1410" s="22">
        <f t="shared" si="47"/>
        <v>33943</v>
      </c>
      <c r="J1410" s="1" t="str">
        <f>"00741527"</f>
        <v>00741527</v>
      </c>
      <c r="K1410" s="1" t="str">
        <f>"１２８８　　　　　　　　　　　　　　　　"</f>
        <v>１２８８　　　　　　　　　　　　　　　　</v>
      </c>
      <c r="L1410" s="1"/>
    </row>
    <row r="1411" spans="1:12" ht="18" customHeight="1" x14ac:dyDescent="0.15">
      <c r="A1411" s="11">
        <v>2568</v>
      </c>
      <c r="B1411" s="11" t="s">
        <v>53</v>
      </c>
      <c r="C1411" s="11" t="s">
        <v>156</v>
      </c>
      <c r="D1411" s="11">
        <v>1</v>
      </c>
      <c r="E1411" s="11" t="s">
        <v>4</v>
      </c>
      <c r="F1411" s="12">
        <v>20600</v>
      </c>
      <c r="G1411" s="12">
        <v>20600</v>
      </c>
      <c r="H1411" s="11" t="str">
        <f t="shared" si="48"/>
        <v>平成4年12月5日</v>
      </c>
      <c r="I1411" s="22">
        <f t="shared" si="47"/>
        <v>33943</v>
      </c>
      <c r="J1411" s="1" t="str">
        <f>"00741529"</f>
        <v>00741529</v>
      </c>
      <c r="K1411" s="1" t="str">
        <f>"１２８９　　　　　　　　　　　　　　　　"</f>
        <v>１２８９　　　　　　　　　　　　　　　　</v>
      </c>
      <c r="L1411" s="1"/>
    </row>
    <row r="1412" spans="1:12" ht="18" customHeight="1" x14ac:dyDescent="0.15">
      <c r="A1412" s="11">
        <v>2569</v>
      </c>
      <c r="B1412" s="11" t="s">
        <v>53</v>
      </c>
      <c r="C1412" s="11" t="s">
        <v>156</v>
      </c>
      <c r="D1412" s="11">
        <v>1</v>
      </c>
      <c r="E1412" s="11" t="s">
        <v>4</v>
      </c>
      <c r="F1412" s="12">
        <v>20600</v>
      </c>
      <c r="G1412" s="12">
        <v>20600</v>
      </c>
      <c r="H1412" s="11" t="str">
        <f t="shared" si="48"/>
        <v>平成4年12月5日</v>
      </c>
      <c r="I1412" s="22">
        <f t="shared" si="47"/>
        <v>33943</v>
      </c>
      <c r="J1412" s="1" t="str">
        <f>"00741531"</f>
        <v>00741531</v>
      </c>
      <c r="K1412" s="1" t="str">
        <f>"１２９０　　　　　　　　　　　　　　　　"</f>
        <v>１２９０　　　　　　　　　　　　　　　　</v>
      </c>
      <c r="L1412" s="1"/>
    </row>
    <row r="1413" spans="1:12" ht="18" customHeight="1" x14ac:dyDescent="0.15">
      <c r="A1413" s="11">
        <v>3141</v>
      </c>
      <c r="B1413" s="11" t="s">
        <v>70</v>
      </c>
      <c r="C1413" s="11" t="s">
        <v>166</v>
      </c>
      <c r="D1413" s="11">
        <v>1</v>
      </c>
      <c r="E1413" s="11" t="s">
        <v>4</v>
      </c>
      <c r="F1413" s="12">
        <v>386300</v>
      </c>
      <c r="G1413" s="12">
        <v>386300</v>
      </c>
      <c r="H1413" s="11" t="str">
        <f t="shared" si="48"/>
        <v>平成4年12月5日</v>
      </c>
      <c r="I1413" s="22">
        <f t="shared" si="47"/>
        <v>33943</v>
      </c>
      <c r="J1413" s="1" t="str">
        <f>"00742679"</f>
        <v>00742679</v>
      </c>
      <c r="K1413" s="1" t="str">
        <f>"３０１　　　　　　　　　　　　　　　　　"</f>
        <v>３０１　　　　　　　　　　　　　　　　　</v>
      </c>
      <c r="L1413" s="1"/>
    </row>
    <row r="1414" spans="1:12" ht="18" customHeight="1" x14ac:dyDescent="0.15">
      <c r="A1414" s="11">
        <v>3142</v>
      </c>
      <c r="B1414" s="11" t="s">
        <v>70</v>
      </c>
      <c r="C1414" s="11" t="s">
        <v>166</v>
      </c>
      <c r="D1414" s="11">
        <v>1</v>
      </c>
      <c r="E1414" s="11" t="s">
        <v>4</v>
      </c>
      <c r="F1414" s="12">
        <v>386300</v>
      </c>
      <c r="G1414" s="12">
        <v>386300</v>
      </c>
      <c r="H1414" s="11" t="str">
        <f t="shared" si="48"/>
        <v>平成4年12月5日</v>
      </c>
      <c r="I1414" s="22">
        <f t="shared" si="47"/>
        <v>33943</v>
      </c>
      <c r="J1414" s="1" t="str">
        <f>"00742681"</f>
        <v>00742681</v>
      </c>
      <c r="K1414" s="1" t="str">
        <f>"３０２　　　　　　　　　　　　　　　　　"</f>
        <v>３０２　　　　　　　　　　　　　　　　　</v>
      </c>
      <c r="L1414" s="1"/>
    </row>
    <row r="1415" spans="1:12" ht="18" customHeight="1" x14ac:dyDescent="0.15">
      <c r="A1415" s="11">
        <v>3143</v>
      </c>
      <c r="B1415" s="11" t="s">
        <v>70</v>
      </c>
      <c r="C1415" s="11" t="s">
        <v>166</v>
      </c>
      <c r="D1415" s="11">
        <v>1</v>
      </c>
      <c r="E1415" s="11" t="s">
        <v>4</v>
      </c>
      <c r="F1415" s="12">
        <v>386300</v>
      </c>
      <c r="G1415" s="12">
        <v>386300</v>
      </c>
      <c r="H1415" s="11" t="str">
        <f t="shared" si="48"/>
        <v>平成4年12月5日</v>
      </c>
      <c r="I1415" s="22">
        <f t="shared" si="47"/>
        <v>33943</v>
      </c>
      <c r="J1415" s="1" t="str">
        <f>"00742683"</f>
        <v>00742683</v>
      </c>
      <c r="K1415" s="1" t="str">
        <f>"３０３　　　　　　　　　　　　　　　　　"</f>
        <v>３０３　　　　　　　　　　　　　　　　　</v>
      </c>
      <c r="L1415" s="1"/>
    </row>
    <row r="1416" spans="1:12" ht="18" customHeight="1" x14ac:dyDescent="0.15">
      <c r="A1416" s="11">
        <v>3144</v>
      </c>
      <c r="B1416" s="11" t="s">
        <v>70</v>
      </c>
      <c r="C1416" s="11" t="s">
        <v>166</v>
      </c>
      <c r="D1416" s="11">
        <v>1</v>
      </c>
      <c r="E1416" s="11" t="s">
        <v>4</v>
      </c>
      <c r="F1416" s="12">
        <v>386300</v>
      </c>
      <c r="G1416" s="12">
        <v>386300</v>
      </c>
      <c r="H1416" s="11" t="str">
        <f t="shared" si="48"/>
        <v>平成4年12月5日</v>
      </c>
      <c r="I1416" s="22">
        <f t="shared" si="47"/>
        <v>33943</v>
      </c>
      <c r="J1416" s="1" t="str">
        <f>"00742685"</f>
        <v>00742685</v>
      </c>
      <c r="K1416" s="1" t="str">
        <f>"３０４　　　　　　　　　　　　　　　　　"</f>
        <v>３０４　　　　　　　　　　　　　　　　　</v>
      </c>
      <c r="L1416" s="1"/>
    </row>
    <row r="1417" spans="1:12" ht="18" customHeight="1" x14ac:dyDescent="0.15">
      <c r="A1417" s="11">
        <v>3145</v>
      </c>
      <c r="B1417" s="11" t="s">
        <v>70</v>
      </c>
      <c r="C1417" s="11" t="s">
        <v>166</v>
      </c>
      <c r="D1417" s="11">
        <v>1</v>
      </c>
      <c r="E1417" s="11" t="s">
        <v>4</v>
      </c>
      <c r="F1417" s="12">
        <v>386300</v>
      </c>
      <c r="G1417" s="12">
        <v>386300</v>
      </c>
      <c r="H1417" s="11" t="str">
        <f t="shared" si="48"/>
        <v>平成4年12月5日</v>
      </c>
      <c r="I1417" s="22">
        <f t="shared" si="47"/>
        <v>33943</v>
      </c>
      <c r="J1417" s="1" t="str">
        <f>"00742687"</f>
        <v>00742687</v>
      </c>
      <c r="K1417" s="1" t="str">
        <f>"３０５　　　　　　　　　　　　　　　　　"</f>
        <v>３０５　　　　　　　　　　　　　　　　　</v>
      </c>
      <c r="L1417" s="1"/>
    </row>
    <row r="1418" spans="1:12" ht="18" customHeight="1" x14ac:dyDescent="0.15">
      <c r="A1418" s="11">
        <v>3146</v>
      </c>
      <c r="B1418" s="11" t="s">
        <v>70</v>
      </c>
      <c r="C1418" s="11" t="s">
        <v>166</v>
      </c>
      <c r="D1418" s="11">
        <v>1</v>
      </c>
      <c r="E1418" s="11" t="s">
        <v>4</v>
      </c>
      <c r="F1418" s="12">
        <v>386300</v>
      </c>
      <c r="G1418" s="12">
        <v>386300</v>
      </c>
      <c r="H1418" s="11" t="str">
        <f t="shared" si="48"/>
        <v>平成4年12月5日</v>
      </c>
      <c r="I1418" s="22">
        <f t="shared" si="47"/>
        <v>33943</v>
      </c>
      <c r="J1418" s="1" t="str">
        <f>"00742689"</f>
        <v>00742689</v>
      </c>
      <c r="K1418" s="1" t="str">
        <f>"３０６　　　　　　　　　　　　　　　　　"</f>
        <v>３０６　　　　　　　　　　　　　　　　　</v>
      </c>
      <c r="L1418" s="1"/>
    </row>
    <row r="1419" spans="1:12" ht="18" customHeight="1" x14ac:dyDescent="0.15">
      <c r="A1419" s="11">
        <v>3147</v>
      </c>
      <c r="B1419" s="11" t="s">
        <v>70</v>
      </c>
      <c r="C1419" s="11" t="s">
        <v>166</v>
      </c>
      <c r="D1419" s="11">
        <v>1</v>
      </c>
      <c r="E1419" s="11" t="s">
        <v>4</v>
      </c>
      <c r="F1419" s="12">
        <v>386300</v>
      </c>
      <c r="G1419" s="12">
        <v>386300</v>
      </c>
      <c r="H1419" s="11" t="str">
        <f t="shared" si="48"/>
        <v>平成4年12月5日</v>
      </c>
      <c r="I1419" s="22">
        <f t="shared" si="47"/>
        <v>33943</v>
      </c>
      <c r="J1419" s="1" t="str">
        <f>"00742691"</f>
        <v>00742691</v>
      </c>
      <c r="K1419" s="1" t="str">
        <f>"３０７　　　　　　　　　　　　　　　　　"</f>
        <v>３０７　　　　　　　　　　　　　　　　　</v>
      </c>
      <c r="L1419" s="1"/>
    </row>
    <row r="1420" spans="1:12" ht="18" customHeight="1" x14ac:dyDescent="0.15">
      <c r="A1420" s="11">
        <v>3148</v>
      </c>
      <c r="B1420" s="11" t="s">
        <v>70</v>
      </c>
      <c r="C1420" s="11" t="s">
        <v>166</v>
      </c>
      <c r="D1420" s="11">
        <v>1</v>
      </c>
      <c r="E1420" s="11" t="s">
        <v>4</v>
      </c>
      <c r="F1420" s="12">
        <v>386300</v>
      </c>
      <c r="G1420" s="12">
        <v>386300</v>
      </c>
      <c r="H1420" s="11" t="str">
        <f t="shared" si="48"/>
        <v>平成4年12月5日</v>
      </c>
      <c r="I1420" s="22">
        <f t="shared" si="47"/>
        <v>33943</v>
      </c>
      <c r="J1420" s="1" t="str">
        <f>"00742693"</f>
        <v>00742693</v>
      </c>
      <c r="K1420" s="1" t="str">
        <f>"３０８　　　　　　　　　　　　　　　　　"</f>
        <v>３０８　　　　　　　　　　　　　　　　　</v>
      </c>
      <c r="L1420" s="1"/>
    </row>
    <row r="1421" spans="1:12" ht="18" customHeight="1" x14ac:dyDescent="0.15">
      <c r="A1421" s="11">
        <v>3149</v>
      </c>
      <c r="B1421" s="11" t="s">
        <v>70</v>
      </c>
      <c r="C1421" s="11" t="s">
        <v>166</v>
      </c>
      <c r="D1421" s="11">
        <v>1</v>
      </c>
      <c r="E1421" s="11" t="s">
        <v>4</v>
      </c>
      <c r="F1421" s="12">
        <v>386300</v>
      </c>
      <c r="G1421" s="12">
        <v>386300</v>
      </c>
      <c r="H1421" s="11" t="str">
        <f t="shared" si="48"/>
        <v>平成4年12月5日</v>
      </c>
      <c r="I1421" s="22">
        <f t="shared" si="47"/>
        <v>33943</v>
      </c>
      <c r="J1421" s="1" t="str">
        <f>"00742695"</f>
        <v>00742695</v>
      </c>
      <c r="K1421" s="1" t="str">
        <f>"３０９　　　　　　　　　　　　　　　　　"</f>
        <v>３０９　　　　　　　　　　　　　　　　　</v>
      </c>
      <c r="L1421" s="1"/>
    </row>
    <row r="1422" spans="1:12" ht="18" customHeight="1" x14ac:dyDescent="0.15">
      <c r="A1422" s="11">
        <v>3150</v>
      </c>
      <c r="B1422" s="11" t="s">
        <v>70</v>
      </c>
      <c r="C1422" s="11" t="s">
        <v>166</v>
      </c>
      <c r="D1422" s="11">
        <v>1</v>
      </c>
      <c r="E1422" s="11" t="s">
        <v>4</v>
      </c>
      <c r="F1422" s="12">
        <v>386300</v>
      </c>
      <c r="G1422" s="12">
        <v>386300</v>
      </c>
      <c r="H1422" s="11" t="str">
        <f t="shared" si="48"/>
        <v>平成4年12月5日</v>
      </c>
      <c r="I1422" s="22">
        <f t="shared" si="47"/>
        <v>33943</v>
      </c>
      <c r="J1422" s="1" t="str">
        <f>"00742697"</f>
        <v>00742697</v>
      </c>
      <c r="K1422" s="1" t="str">
        <f>"３１０　　　　　　　　　　　　　　　　　"</f>
        <v>３１０　　　　　　　　　　　　　　　　　</v>
      </c>
      <c r="L1422" s="1"/>
    </row>
    <row r="1423" spans="1:12" ht="18" customHeight="1" x14ac:dyDescent="0.15">
      <c r="A1423" s="11">
        <v>3151</v>
      </c>
      <c r="B1423" s="11" t="s">
        <v>70</v>
      </c>
      <c r="C1423" s="11" t="s">
        <v>167</v>
      </c>
      <c r="D1423" s="11">
        <v>1</v>
      </c>
      <c r="E1423" s="11" t="s">
        <v>4</v>
      </c>
      <c r="F1423" s="12">
        <v>41097</v>
      </c>
      <c r="G1423" s="12">
        <v>41097</v>
      </c>
      <c r="H1423" s="11" t="str">
        <f t="shared" si="48"/>
        <v>平成4年12月5日</v>
      </c>
      <c r="I1423" s="22">
        <f t="shared" si="47"/>
        <v>33943</v>
      </c>
      <c r="J1423" s="1" t="str">
        <f>"00742699"</f>
        <v>00742699</v>
      </c>
      <c r="K1423" s="1" t="str">
        <f>"３１３　　　　　　　　　　　　　　　　　"</f>
        <v>３１３　　　　　　　　　　　　　　　　　</v>
      </c>
      <c r="L1423" s="1"/>
    </row>
    <row r="1424" spans="1:12" ht="18" customHeight="1" x14ac:dyDescent="0.15">
      <c r="A1424" s="11">
        <v>3152</v>
      </c>
      <c r="B1424" s="11" t="s">
        <v>70</v>
      </c>
      <c r="C1424" s="11" t="s">
        <v>167</v>
      </c>
      <c r="D1424" s="11">
        <v>1</v>
      </c>
      <c r="E1424" s="11" t="s">
        <v>4</v>
      </c>
      <c r="F1424" s="12">
        <v>41097</v>
      </c>
      <c r="G1424" s="12">
        <v>41097</v>
      </c>
      <c r="H1424" s="11" t="str">
        <f t="shared" si="48"/>
        <v>平成4年12月5日</v>
      </c>
      <c r="I1424" s="22">
        <f t="shared" si="47"/>
        <v>33943</v>
      </c>
      <c r="J1424" s="1" t="str">
        <f>"00742701"</f>
        <v>00742701</v>
      </c>
      <c r="K1424" s="1" t="str">
        <f>"３１４　　　　　　　　　　　　　　　　　"</f>
        <v>３１４　　　　　　　　　　　　　　　　　</v>
      </c>
      <c r="L1424" s="1"/>
    </row>
    <row r="1425" spans="1:12" ht="18" customHeight="1" x14ac:dyDescent="0.15">
      <c r="A1425" s="11">
        <v>3153</v>
      </c>
      <c r="B1425" s="11" t="s">
        <v>70</v>
      </c>
      <c r="C1425" s="11" t="s">
        <v>167</v>
      </c>
      <c r="D1425" s="11">
        <v>1</v>
      </c>
      <c r="E1425" s="11" t="s">
        <v>4</v>
      </c>
      <c r="F1425" s="12">
        <v>41097</v>
      </c>
      <c r="G1425" s="12">
        <v>41097</v>
      </c>
      <c r="H1425" s="11" t="str">
        <f t="shared" si="48"/>
        <v>平成4年12月5日</v>
      </c>
      <c r="I1425" s="22">
        <f t="shared" si="47"/>
        <v>33943</v>
      </c>
      <c r="J1425" s="1" t="str">
        <f>"00742703"</f>
        <v>00742703</v>
      </c>
      <c r="K1425" s="1" t="str">
        <f>"３１５　　　　　　　　　　　　　　　　　"</f>
        <v>３１５　　　　　　　　　　　　　　　　　</v>
      </c>
      <c r="L1425" s="1"/>
    </row>
    <row r="1426" spans="1:12" ht="18" customHeight="1" x14ac:dyDescent="0.15">
      <c r="A1426" s="11">
        <v>3154</v>
      </c>
      <c r="B1426" s="11" t="s">
        <v>70</v>
      </c>
      <c r="C1426" s="11" t="s">
        <v>167</v>
      </c>
      <c r="D1426" s="11">
        <v>1</v>
      </c>
      <c r="E1426" s="11" t="s">
        <v>4</v>
      </c>
      <c r="F1426" s="12">
        <v>41097</v>
      </c>
      <c r="G1426" s="12">
        <v>41097</v>
      </c>
      <c r="H1426" s="11" t="str">
        <f t="shared" si="48"/>
        <v>平成4年12月5日</v>
      </c>
      <c r="I1426" s="22">
        <f t="shared" ref="I1426:I1489" si="49">DATEVALUE(H1426)</f>
        <v>33943</v>
      </c>
      <c r="J1426" s="1" t="str">
        <f>"00742705"</f>
        <v>00742705</v>
      </c>
      <c r="K1426" s="1" t="str">
        <f>"３１６　　　　　　　　　　　　　　　　　"</f>
        <v>３１６　　　　　　　　　　　　　　　　　</v>
      </c>
      <c r="L1426" s="1"/>
    </row>
    <row r="1427" spans="1:12" ht="18" customHeight="1" x14ac:dyDescent="0.15">
      <c r="A1427" s="11">
        <v>3155</v>
      </c>
      <c r="B1427" s="11" t="s">
        <v>70</v>
      </c>
      <c r="C1427" s="11" t="s">
        <v>168</v>
      </c>
      <c r="D1427" s="11">
        <v>1</v>
      </c>
      <c r="E1427" s="11" t="s">
        <v>4</v>
      </c>
      <c r="F1427" s="12">
        <v>39243</v>
      </c>
      <c r="G1427" s="12">
        <v>39243</v>
      </c>
      <c r="H1427" s="11" t="str">
        <f t="shared" si="48"/>
        <v>平成4年12月5日</v>
      </c>
      <c r="I1427" s="22">
        <f t="shared" si="49"/>
        <v>33943</v>
      </c>
      <c r="J1427" s="1" t="str">
        <f>"00742709"</f>
        <v>00742709</v>
      </c>
      <c r="K1427" s="1" t="str">
        <f>"３１８　　　　　　　　　　　　　　　　　"</f>
        <v>３１８　　　　　　　　　　　　　　　　　</v>
      </c>
      <c r="L1427" s="1"/>
    </row>
    <row r="1428" spans="1:12" ht="18" customHeight="1" x14ac:dyDescent="0.15">
      <c r="A1428" s="11">
        <v>3156</v>
      </c>
      <c r="B1428" s="11" t="s">
        <v>70</v>
      </c>
      <c r="C1428" s="11" t="s">
        <v>168</v>
      </c>
      <c r="D1428" s="11">
        <v>1</v>
      </c>
      <c r="E1428" s="11" t="s">
        <v>4</v>
      </c>
      <c r="F1428" s="12">
        <v>39243</v>
      </c>
      <c r="G1428" s="12">
        <v>39243</v>
      </c>
      <c r="H1428" s="11" t="str">
        <f t="shared" si="48"/>
        <v>平成4年12月5日</v>
      </c>
      <c r="I1428" s="22">
        <f t="shared" si="49"/>
        <v>33943</v>
      </c>
      <c r="J1428" s="1" t="str">
        <f>"00742711"</f>
        <v>00742711</v>
      </c>
      <c r="K1428" s="1" t="str">
        <f>"３１９　　　　　　　　　　　　　　　　　"</f>
        <v>３１９　　　　　　　　　　　　　　　　　</v>
      </c>
      <c r="L1428" s="1"/>
    </row>
    <row r="1429" spans="1:12" ht="18" customHeight="1" x14ac:dyDescent="0.15">
      <c r="A1429" s="11">
        <v>3157</v>
      </c>
      <c r="B1429" s="11" t="s">
        <v>70</v>
      </c>
      <c r="C1429" s="11" t="s">
        <v>168</v>
      </c>
      <c r="D1429" s="11">
        <v>1</v>
      </c>
      <c r="E1429" s="11" t="s">
        <v>4</v>
      </c>
      <c r="F1429" s="12">
        <v>39243</v>
      </c>
      <c r="G1429" s="12">
        <v>39243</v>
      </c>
      <c r="H1429" s="11" t="str">
        <f t="shared" si="48"/>
        <v>平成4年12月5日</v>
      </c>
      <c r="I1429" s="22">
        <f t="shared" si="49"/>
        <v>33943</v>
      </c>
      <c r="J1429" s="1" t="str">
        <f>"00742713"</f>
        <v>00742713</v>
      </c>
      <c r="K1429" s="1" t="str">
        <f>"３２０　　　　　　　　　　　　　　　　　"</f>
        <v>３２０　　　　　　　　　　　　　　　　　</v>
      </c>
      <c r="L1429" s="1"/>
    </row>
    <row r="1430" spans="1:12" ht="18" customHeight="1" x14ac:dyDescent="0.15">
      <c r="A1430" s="11">
        <v>3158</v>
      </c>
      <c r="B1430" s="11" t="s">
        <v>70</v>
      </c>
      <c r="C1430" s="11" t="s">
        <v>168</v>
      </c>
      <c r="D1430" s="11">
        <v>1</v>
      </c>
      <c r="E1430" s="11" t="s">
        <v>4</v>
      </c>
      <c r="F1430" s="12">
        <v>39243</v>
      </c>
      <c r="G1430" s="12">
        <v>39243</v>
      </c>
      <c r="H1430" s="11" t="str">
        <f t="shared" si="48"/>
        <v>平成4年12月5日</v>
      </c>
      <c r="I1430" s="22">
        <f t="shared" si="49"/>
        <v>33943</v>
      </c>
      <c r="J1430" s="1" t="str">
        <f>"00742715"</f>
        <v>00742715</v>
      </c>
      <c r="K1430" s="1" t="str">
        <f>"３２１　　　　　　　　　　　　　　　　　"</f>
        <v>３２１　　　　　　　　　　　　　　　　　</v>
      </c>
      <c r="L1430" s="1"/>
    </row>
    <row r="1431" spans="1:12" ht="18" customHeight="1" x14ac:dyDescent="0.15">
      <c r="A1431" s="11">
        <v>3254</v>
      </c>
      <c r="B1431" s="11" t="s">
        <v>54</v>
      </c>
      <c r="C1431" s="11" t="s">
        <v>181</v>
      </c>
      <c r="D1431" s="11">
        <v>1</v>
      </c>
      <c r="E1431" s="11" t="s">
        <v>4</v>
      </c>
      <c r="F1431" s="12">
        <v>34300</v>
      </c>
      <c r="G1431" s="12">
        <v>34300</v>
      </c>
      <c r="H1431" s="11" t="str">
        <f t="shared" si="48"/>
        <v>平成4年12月5日</v>
      </c>
      <c r="I1431" s="22">
        <f t="shared" si="49"/>
        <v>33943</v>
      </c>
      <c r="J1431" s="1" t="str">
        <f>"00742907"</f>
        <v>00742907</v>
      </c>
      <c r="K1431" s="1" t="str">
        <f>"３０４　　　　　　　　　　　　　　　　　"</f>
        <v>３０４　　　　　　　　　　　　　　　　　</v>
      </c>
      <c r="L1431" s="1"/>
    </row>
    <row r="1432" spans="1:12" ht="18" customHeight="1" x14ac:dyDescent="0.15">
      <c r="A1432" s="11">
        <v>3255</v>
      </c>
      <c r="B1432" s="11" t="s">
        <v>54</v>
      </c>
      <c r="C1432" s="11" t="s">
        <v>181</v>
      </c>
      <c r="D1432" s="11">
        <v>1</v>
      </c>
      <c r="E1432" s="11" t="s">
        <v>4</v>
      </c>
      <c r="F1432" s="12">
        <v>34300</v>
      </c>
      <c r="G1432" s="12">
        <v>34300</v>
      </c>
      <c r="H1432" s="11" t="str">
        <f t="shared" si="48"/>
        <v>平成4年12月5日</v>
      </c>
      <c r="I1432" s="22">
        <f t="shared" si="49"/>
        <v>33943</v>
      </c>
      <c r="J1432" s="1" t="str">
        <f>"00742911"</f>
        <v>00742911</v>
      </c>
      <c r="K1432" s="1" t="str">
        <f>"３０６　　　　　　　　　　　　　　　　　"</f>
        <v>３０６　　　　　　　　　　　　　　　　　</v>
      </c>
      <c r="L1432" s="1"/>
    </row>
    <row r="1433" spans="1:12" ht="18" customHeight="1" x14ac:dyDescent="0.15">
      <c r="A1433" s="11">
        <v>3256</v>
      </c>
      <c r="B1433" s="11" t="s">
        <v>54</v>
      </c>
      <c r="C1433" s="11" t="s">
        <v>181</v>
      </c>
      <c r="D1433" s="11">
        <v>1</v>
      </c>
      <c r="E1433" s="11" t="s">
        <v>4</v>
      </c>
      <c r="F1433" s="12">
        <v>34300</v>
      </c>
      <c r="G1433" s="12">
        <v>34300</v>
      </c>
      <c r="H1433" s="11" t="str">
        <f t="shared" si="48"/>
        <v>平成4年12月5日</v>
      </c>
      <c r="I1433" s="22">
        <f t="shared" si="49"/>
        <v>33943</v>
      </c>
      <c r="J1433" s="1" t="str">
        <f>"00742913"</f>
        <v>00742913</v>
      </c>
      <c r="K1433" s="1" t="str">
        <f>"３０８　　　　　　　　　　　　　　　　　"</f>
        <v>３０８　　　　　　　　　　　　　　　　　</v>
      </c>
      <c r="L1433" s="1"/>
    </row>
    <row r="1434" spans="1:12" ht="18" customHeight="1" x14ac:dyDescent="0.15">
      <c r="A1434" s="11">
        <v>3257</v>
      </c>
      <c r="B1434" s="11" t="s">
        <v>54</v>
      </c>
      <c r="C1434" s="11" t="s">
        <v>181</v>
      </c>
      <c r="D1434" s="11">
        <v>1</v>
      </c>
      <c r="E1434" s="11" t="s">
        <v>4</v>
      </c>
      <c r="F1434" s="12">
        <v>34300</v>
      </c>
      <c r="G1434" s="12">
        <v>34300</v>
      </c>
      <c r="H1434" s="11" t="str">
        <f t="shared" si="48"/>
        <v>平成4年12月5日</v>
      </c>
      <c r="I1434" s="22">
        <f t="shared" si="49"/>
        <v>33943</v>
      </c>
      <c r="J1434" s="1" t="str">
        <f>"00742915"</f>
        <v>00742915</v>
      </c>
      <c r="K1434" s="1" t="str">
        <f>"３０９　　　　　　　　　　　　　　　　　"</f>
        <v>３０９　　　　　　　　　　　　　　　　　</v>
      </c>
      <c r="L1434" s="1"/>
    </row>
    <row r="1435" spans="1:12" ht="18" customHeight="1" x14ac:dyDescent="0.15">
      <c r="A1435" s="11">
        <v>3258</v>
      </c>
      <c r="B1435" s="11" t="s">
        <v>54</v>
      </c>
      <c r="C1435" s="11" t="s">
        <v>181</v>
      </c>
      <c r="D1435" s="11">
        <v>1</v>
      </c>
      <c r="E1435" s="11" t="s">
        <v>4</v>
      </c>
      <c r="F1435" s="12">
        <v>34300</v>
      </c>
      <c r="G1435" s="12">
        <v>34300</v>
      </c>
      <c r="H1435" s="11" t="str">
        <f t="shared" si="48"/>
        <v>平成4年12月5日</v>
      </c>
      <c r="I1435" s="22">
        <f t="shared" si="49"/>
        <v>33943</v>
      </c>
      <c r="J1435" s="1" t="str">
        <f>"00742917"</f>
        <v>00742917</v>
      </c>
      <c r="K1435" s="1" t="str">
        <f>"３１１　　　　　　　　　　　　　　　　　"</f>
        <v>３１１　　　　　　　　　　　　　　　　　</v>
      </c>
      <c r="L1435" s="1"/>
    </row>
    <row r="1436" spans="1:12" ht="18" customHeight="1" x14ac:dyDescent="0.15">
      <c r="A1436" s="11">
        <v>3259</v>
      </c>
      <c r="B1436" s="11" t="s">
        <v>54</v>
      </c>
      <c r="C1436" s="11" t="s">
        <v>181</v>
      </c>
      <c r="D1436" s="11">
        <v>1</v>
      </c>
      <c r="E1436" s="11" t="s">
        <v>4</v>
      </c>
      <c r="F1436" s="12">
        <v>34300</v>
      </c>
      <c r="G1436" s="12">
        <v>34300</v>
      </c>
      <c r="H1436" s="11" t="str">
        <f t="shared" si="48"/>
        <v>平成4年12月5日</v>
      </c>
      <c r="I1436" s="22">
        <f t="shared" si="49"/>
        <v>33943</v>
      </c>
      <c r="J1436" s="1" t="str">
        <f>"00742919"</f>
        <v>00742919</v>
      </c>
      <c r="K1436" s="1" t="str">
        <f>"３１３　　　　　　　　　　　　　　　　　"</f>
        <v>３１３　　　　　　　　　　　　　　　　　</v>
      </c>
      <c r="L1436" s="1"/>
    </row>
    <row r="1437" spans="1:12" ht="18" customHeight="1" x14ac:dyDescent="0.15">
      <c r="A1437" s="11">
        <v>3260</v>
      </c>
      <c r="B1437" s="11" t="s">
        <v>54</v>
      </c>
      <c r="C1437" s="11" t="s">
        <v>181</v>
      </c>
      <c r="D1437" s="11">
        <v>1</v>
      </c>
      <c r="E1437" s="11" t="s">
        <v>4</v>
      </c>
      <c r="F1437" s="12">
        <v>34300</v>
      </c>
      <c r="G1437" s="12">
        <v>34300</v>
      </c>
      <c r="H1437" s="11" t="str">
        <f t="shared" si="48"/>
        <v>平成4年12月5日</v>
      </c>
      <c r="I1437" s="22">
        <f t="shared" si="49"/>
        <v>33943</v>
      </c>
      <c r="J1437" s="1" t="str">
        <f>"00742921"</f>
        <v>00742921</v>
      </c>
      <c r="K1437" s="1" t="str">
        <f>"３１５　　　　　　　　　　　　　　　　　"</f>
        <v>３１５　　　　　　　　　　　　　　　　　</v>
      </c>
      <c r="L1437" s="1"/>
    </row>
    <row r="1438" spans="1:12" ht="18" customHeight="1" x14ac:dyDescent="0.15">
      <c r="A1438" s="11">
        <v>3261</v>
      </c>
      <c r="B1438" s="11" t="s">
        <v>54</v>
      </c>
      <c r="C1438" s="11" t="s">
        <v>182</v>
      </c>
      <c r="D1438" s="11">
        <v>1</v>
      </c>
      <c r="E1438" s="11" t="s">
        <v>4</v>
      </c>
      <c r="F1438" s="12">
        <v>35600</v>
      </c>
      <c r="G1438" s="12">
        <v>35600</v>
      </c>
      <c r="H1438" s="11" t="str">
        <f t="shared" si="48"/>
        <v>平成4年12月5日</v>
      </c>
      <c r="I1438" s="22">
        <f t="shared" si="49"/>
        <v>33943</v>
      </c>
      <c r="J1438" s="1" t="str">
        <f>"00742923"</f>
        <v>00742923</v>
      </c>
      <c r="K1438" s="1" t="str">
        <f>"３１７　　　　　　　　　　　　　　　　　"</f>
        <v>３１７　　　　　　　　　　　　　　　　　</v>
      </c>
      <c r="L1438" s="1"/>
    </row>
    <row r="1439" spans="1:12" ht="18" customHeight="1" x14ac:dyDescent="0.15">
      <c r="A1439" s="11">
        <v>3262</v>
      </c>
      <c r="B1439" s="11" t="s">
        <v>54</v>
      </c>
      <c r="C1439" s="11" t="s">
        <v>182</v>
      </c>
      <c r="D1439" s="11">
        <v>1</v>
      </c>
      <c r="E1439" s="11" t="s">
        <v>4</v>
      </c>
      <c r="F1439" s="12">
        <v>35600</v>
      </c>
      <c r="G1439" s="12">
        <v>35600</v>
      </c>
      <c r="H1439" s="11" t="str">
        <f t="shared" si="48"/>
        <v>平成4年12月5日</v>
      </c>
      <c r="I1439" s="22">
        <f t="shared" si="49"/>
        <v>33943</v>
      </c>
      <c r="J1439" s="1" t="str">
        <f>"00742925"</f>
        <v>00742925</v>
      </c>
      <c r="K1439" s="1" t="str">
        <f>"３１８　　　　　　　　　　　　　　　　　"</f>
        <v>３１８　　　　　　　　　　　　　　　　　</v>
      </c>
      <c r="L1439" s="1"/>
    </row>
    <row r="1440" spans="1:12" ht="18" customHeight="1" x14ac:dyDescent="0.15">
      <c r="A1440" s="11">
        <v>3263</v>
      </c>
      <c r="B1440" s="11" t="s">
        <v>54</v>
      </c>
      <c r="C1440" s="11" t="s">
        <v>182</v>
      </c>
      <c r="D1440" s="11">
        <v>1</v>
      </c>
      <c r="E1440" s="11" t="s">
        <v>4</v>
      </c>
      <c r="F1440" s="12">
        <v>35600</v>
      </c>
      <c r="G1440" s="12">
        <v>35600</v>
      </c>
      <c r="H1440" s="11" t="str">
        <f t="shared" si="48"/>
        <v>平成4年12月5日</v>
      </c>
      <c r="I1440" s="22">
        <f t="shared" si="49"/>
        <v>33943</v>
      </c>
      <c r="J1440" s="1" t="str">
        <f>"00742927"</f>
        <v>00742927</v>
      </c>
      <c r="K1440" s="1" t="str">
        <f>"３１９　　　　　　　　　　　　　　　　　"</f>
        <v>３１９　　　　　　　　　　　　　　　　　</v>
      </c>
      <c r="L1440" s="1"/>
    </row>
    <row r="1441" spans="1:12" ht="18" customHeight="1" x14ac:dyDescent="0.15">
      <c r="A1441" s="11">
        <v>3264</v>
      </c>
      <c r="B1441" s="11" t="s">
        <v>54</v>
      </c>
      <c r="C1441" s="11" t="s">
        <v>182</v>
      </c>
      <c r="D1441" s="11">
        <v>1</v>
      </c>
      <c r="E1441" s="11" t="s">
        <v>4</v>
      </c>
      <c r="F1441" s="12">
        <v>35600</v>
      </c>
      <c r="G1441" s="12">
        <v>35600</v>
      </c>
      <c r="H1441" s="11" t="str">
        <f t="shared" si="48"/>
        <v>平成4年12月5日</v>
      </c>
      <c r="I1441" s="22">
        <f t="shared" si="49"/>
        <v>33943</v>
      </c>
      <c r="J1441" s="1" t="str">
        <f>"00742929"</f>
        <v>00742929</v>
      </c>
      <c r="K1441" s="1" t="str">
        <f>"３２１　　　　　　　　　　　　　　　　　"</f>
        <v>３２１　　　　　　　　　　　　　　　　　</v>
      </c>
      <c r="L1441" s="1"/>
    </row>
    <row r="1442" spans="1:12" ht="18" customHeight="1" x14ac:dyDescent="0.15">
      <c r="A1442" s="11">
        <v>3265</v>
      </c>
      <c r="B1442" s="11" t="s">
        <v>54</v>
      </c>
      <c r="C1442" s="11" t="s">
        <v>182</v>
      </c>
      <c r="D1442" s="11">
        <v>1</v>
      </c>
      <c r="E1442" s="11" t="s">
        <v>4</v>
      </c>
      <c r="F1442" s="12">
        <v>35600</v>
      </c>
      <c r="G1442" s="12">
        <v>35600</v>
      </c>
      <c r="H1442" s="11" t="str">
        <f t="shared" si="48"/>
        <v>平成4年12月5日</v>
      </c>
      <c r="I1442" s="22">
        <f t="shared" si="49"/>
        <v>33943</v>
      </c>
      <c r="J1442" s="1" t="str">
        <f>"00742931"</f>
        <v>00742931</v>
      </c>
      <c r="K1442" s="1" t="str">
        <f>"３２２　　　　　　　　　　　　　　　　　"</f>
        <v>３２２　　　　　　　　　　　　　　　　　</v>
      </c>
      <c r="L1442" s="1"/>
    </row>
    <row r="1443" spans="1:12" ht="18" customHeight="1" x14ac:dyDescent="0.15">
      <c r="A1443" s="11">
        <v>3266</v>
      </c>
      <c r="B1443" s="11" t="s">
        <v>54</v>
      </c>
      <c r="C1443" s="11" t="s">
        <v>182</v>
      </c>
      <c r="D1443" s="11">
        <v>1</v>
      </c>
      <c r="E1443" s="11" t="s">
        <v>4</v>
      </c>
      <c r="F1443" s="12">
        <v>35600</v>
      </c>
      <c r="G1443" s="12">
        <v>35600</v>
      </c>
      <c r="H1443" s="11" t="str">
        <f t="shared" si="48"/>
        <v>平成4年12月5日</v>
      </c>
      <c r="I1443" s="22">
        <f t="shared" si="49"/>
        <v>33943</v>
      </c>
      <c r="J1443" s="1" t="str">
        <f>"00742933"</f>
        <v>00742933</v>
      </c>
      <c r="K1443" s="1" t="str">
        <f>"３２３　　　　　　　　　　　　　　　　　"</f>
        <v>３２３　　　　　　　　　　　　　　　　　</v>
      </c>
      <c r="L1443" s="1"/>
    </row>
    <row r="1444" spans="1:12" ht="18" customHeight="1" x14ac:dyDescent="0.15">
      <c r="A1444" s="11">
        <v>3267</v>
      </c>
      <c r="B1444" s="11" t="s">
        <v>54</v>
      </c>
      <c r="C1444" s="11" t="s">
        <v>182</v>
      </c>
      <c r="D1444" s="11">
        <v>1</v>
      </c>
      <c r="E1444" s="11" t="s">
        <v>4</v>
      </c>
      <c r="F1444" s="12">
        <v>35600</v>
      </c>
      <c r="G1444" s="12">
        <v>35600</v>
      </c>
      <c r="H1444" s="11" t="str">
        <f t="shared" si="48"/>
        <v>平成4年12月5日</v>
      </c>
      <c r="I1444" s="22">
        <f t="shared" si="49"/>
        <v>33943</v>
      </c>
      <c r="J1444" s="1" t="str">
        <f>"00742935"</f>
        <v>00742935</v>
      </c>
      <c r="K1444" s="1" t="str">
        <f>"３２４　　　　　　　　　　　　　　　　　"</f>
        <v>３２４　　　　　　　　　　　　　　　　　</v>
      </c>
      <c r="L1444" s="1"/>
    </row>
    <row r="1445" spans="1:12" ht="18" customHeight="1" x14ac:dyDescent="0.15">
      <c r="A1445" s="11">
        <v>3268</v>
      </c>
      <c r="B1445" s="11" t="s">
        <v>54</v>
      </c>
      <c r="C1445" s="11" t="s">
        <v>182</v>
      </c>
      <c r="D1445" s="11">
        <v>1</v>
      </c>
      <c r="E1445" s="11" t="s">
        <v>4</v>
      </c>
      <c r="F1445" s="12">
        <v>35600</v>
      </c>
      <c r="G1445" s="12">
        <v>35600</v>
      </c>
      <c r="H1445" s="11" t="str">
        <f t="shared" si="48"/>
        <v>平成4年12月5日</v>
      </c>
      <c r="I1445" s="22">
        <f t="shared" si="49"/>
        <v>33943</v>
      </c>
      <c r="J1445" s="1" t="str">
        <f>"00742937"</f>
        <v>00742937</v>
      </c>
      <c r="K1445" s="1" t="str">
        <f>"３２５　　　　　　　　　　　　　　　　　"</f>
        <v>３２５　　　　　　　　　　　　　　　　　</v>
      </c>
      <c r="L1445" s="1"/>
    </row>
    <row r="1446" spans="1:12" ht="18" customHeight="1" x14ac:dyDescent="0.15">
      <c r="A1446" s="11">
        <v>3269</v>
      </c>
      <c r="B1446" s="11" t="s">
        <v>54</v>
      </c>
      <c r="C1446" s="11" t="s">
        <v>182</v>
      </c>
      <c r="D1446" s="11">
        <v>1</v>
      </c>
      <c r="E1446" s="11" t="s">
        <v>4</v>
      </c>
      <c r="F1446" s="12">
        <v>35600</v>
      </c>
      <c r="G1446" s="12">
        <v>35600</v>
      </c>
      <c r="H1446" s="11" t="str">
        <f t="shared" si="48"/>
        <v>平成4年12月5日</v>
      </c>
      <c r="I1446" s="22">
        <f t="shared" si="49"/>
        <v>33943</v>
      </c>
      <c r="J1446" s="1" t="str">
        <f>"00742939"</f>
        <v>00742939</v>
      </c>
      <c r="K1446" s="1" t="str">
        <f>"３２７　　　　　　　　　　　　　　　　　"</f>
        <v>３２７　　　　　　　　　　　　　　　　　</v>
      </c>
      <c r="L1446" s="1"/>
    </row>
    <row r="1447" spans="1:12" ht="18" customHeight="1" x14ac:dyDescent="0.15">
      <c r="A1447" s="11">
        <v>3270</v>
      </c>
      <c r="B1447" s="11" t="s">
        <v>54</v>
      </c>
      <c r="C1447" s="11" t="s">
        <v>182</v>
      </c>
      <c r="D1447" s="11">
        <v>1</v>
      </c>
      <c r="E1447" s="11" t="s">
        <v>4</v>
      </c>
      <c r="F1447" s="12">
        <v>35600</v>
      </c>
      <c r="G1447" s="12">
        <v>35600</v>
      </c>
      <c r="H1447" s="11" t="str">
        <f t="shared" si="48"/>
        <v>平成4年12月5日</v>
      </c>
      <c r="I1447" s="22">
        <f t="shared" si="49"/>
        <v>33943</v>
      </c>
      <c r="J1447" s="1" t="str">
        <f>"00742941"</f>
        <v>00742941</v>
      </c>
      <c r="K1447" s="1" t="str">
        <f>"３２８　　　　　　　　　　　　　　　　　"</f>
        <v>３２８　　　　　　　　　　　　　　　　　</v>
      </c>
      <c r="L1447" s="1"/>
    </row>
    <row r="1448" spans="1:12" ht="18" customHeight="1" x14ac:dyDescent="0.15">
      <c r="A1448" s="11">
        <v>3271</v>
      </c>
      <c r="B1448" s="11" t="s">
        <v>54</v>
      </c>
      <c r="C1448" s="11" t="s">
        <v>182</v>
      </c>
      <c r="D1448" s="11">
        <v>1</v>
      </c>
      <c r="E1448" s="11" t="s">
        <v>4</v>
      </c>
      <c r="F1448" s="12">
        <v>35600</v>
      </c>
      <c r="G1448" s="12">
        <v>35600</v>
      </c>
      <c r="H1448" s="11" t="str">
        <f t="shared" si="48"/>
        <v>平成4年12月5日</v>
      </c>
      <c r="I1448" s="22">
        <f t="shared" si="49"/>
        <v>33943</v>
      </c>
      <c r="J1448" s="1" t="str">
        <f>"00742943"</f>
        <v>00742943</v>
      </c>
      <c r="K1448" s="1" t="str">
        <f>"３２９　　　　　　　　　　　　　　　　　"</f>
        <v>３２９　　　　　　　　　　　　　　　　　</v>
      </c>
      <c r="L1448" s="1"/>
    </row>
    <row r="1449" spans="1:12" ht="18" customHeight="1" x14ac:dyDescent="0.15">
      <c r="A1449" s="11">
        <v>3272</v>
      </c>
      <c r="B1449" s="11" t="s">
        <v>54</v>
      </c>
      <c r="C1449" s="11" t="s">
        <v>182</v>
      </c>
      <c r="D1449" s="11">
        <v>1</v>
      </c>
      <c r="E1449" s="11" t="s">
        <v>4</v>
      </c>
      <c r="F1449" s="12">
        <v>35600</v>
      </c>
      <c r="G1449" s="12">
        <v>35600</v>
      </c>
      <c r="H1449" s="11" t="str">
        <f t="shared" si="48"/>
        <v>平成4年12月5日</v>
      </c>
      <c r="I1449" s="22">
        <f t="shared" si="49"/>
        <v>33943</v>
      </c>
      <c r="J1449" s="1" t="str">
        <f>"00742945"</f>
        <v>00742945</v>
      </c>
      <c r="K1449" s="1" t="str">
        <f>"３３０　　　　　　　　　　　　　　　　　"</f>
        <v>３３０　　　　　　　　　　　　　　　　　</v>
      </c>
      <c r="L1449" s="1"/>
    </row>
    <row r="1450" spans="1:12" ht="18" customHeight="1" x14ac:dyDescent="0.15">
      <c r="A1450" s="11">
        <v>3273</v>
      </c>
      <c r="B1450" s="11" t="s">
        <v>54</v>
      </c>
      <c r="C1450" s="11" t="s">
        <v>182</v>
      </c>
      <c r="D1450" s="11">
        <v>1</v>
      </c>
      <c r="E1450" s="11" t="s">
        <v>4</v>
      </c>
      <c r="F1450" s="12">
        <v>35600</v>
      </c>
      <c r="G1450" s="12">
        <v>35600</v>
      </c>
      <c r="H1450" s="11" t="str">
        <f t="shared" si="48"/>
        <v>平成4年12月5日</v>
      </c>
      <c r="I1450" s="22">
        <f t="shared" si="49"/>
        <v>33943</v>
      </c>
      <c r="J1450" s="1" t="str">
        <f>"00742947"</f>
        <v>00742947</v>
      </c>
      <c r="K1450" s="1" t="str">
        <f>"３３１　　　　　　　　　　　　　　　　　"</f>
        <v>３３１　　　　　　　　　　　　　　　　　</v>
      </c>
      <c r="L1450" s="1"/>
    </row>
    <row r="1451" spans="1:12" ht="18" customHeight="1" x14ac:dyDescent="0.15">
      <c r="A1451" s="11">
        <v>3274</v>
      </c>
      <c r="B1451" s="11" t="s">
        <v>54</v>
      </c>
      <c r="C1451" s="11" t="s">
        <v>182</v>
      </c>
      <c r="D1451" s="11">
        <v>1</v>
      </c>
      <c r="E1451" s="11" t="s">
        <v>4</v>
      </c>
      <c r="F1451" s="12">
        <v>35600</v>
      </c>
      <c r="G1451" s="12">
        <v>35600</v>
      </c>
      <c r="H1451" s="11" t="str">
        <f t="shared" si="48"/>
        <v>平成4年12月5日</v>
      </c>
      <c r="I1451" s="22">
        <f t="shared" si="49"/>
        <v>33943</v>
      </c>
      <c r="J1451" s="1" t="str">
        <f>"00742949"</f>
        <v>00742949</v>
      </c>
      <c r="K1451" s="1" t="str">
        <f>"３３２　　　　　　　　　　　　　　　　　"</f>
        <v>３３２　　　　　　　　　　　　　　　　　</v>
      </c>
      <c r="L1451" s="1"/>
    </row>
    <row r="1452" spans="1:12" ht="18" customHeight="1" x14ac:dyDescent="0.15">
      <c r="A1452" s="11">
        <v>3275</v>
      </c>
      <c r="B1452" s="11" t="s">
        <v>54</v>
      </c>
      <c r="C1452" s="11" t="s">
        <v>182</v>
      </c>
      <c r="D1452" s="11">
        <v>1</v>
      </c>
      <c r="E1452" s="11" t="s">
        <v>4</v>
      </c>
      <c r="F1452" s="12">
        <v>35600</v>
      </c>
      <c r="G1452" s="12">
        <v>35600</v>
      </c>
      <c r="H1452" s="11" t="str">
        <f t="shared" si="48"/>
        <v>平成4年12月5日</v>
      </c>
      <c r="I1452" s="22">
        <f t="shared" si="49"/>
        <v>33943</v>
      </c>
      <c r="J1452" s="1" t="str">
        <f>"00742951"</f>
        <v>00742951</v>
      </c>
      <c r="K1452" s="1" t="str">
        <f>"３３３　　　　　　　　　　　　　　　　　"</f>
        <v>３３３　　　　　　　　　　　　　　　　　</v>
      </c>
      <c r="L1452" s="1"/>
    </row>
    <row r="1453" spans="1:12" ht="18" customHeight="1" x14ac:dyDescent="0.15">
      <c r="A1453" s="11">
        <v>3276</v>
      </c>
      <c r="B1453" s="11" t="s">
        <v>54</v>
      </c>
      <c r="C1453" s="11" t="s">
        <v>182</v>
      </c>
      <c r="D1453" s="11">
        <v>1</v>
      </c>
      <c r="E1453" s="11" t="s">
        <v>4</v>
      </c>
      <c r="F1453" s="12">
        <v>35600</v>
      </c>
      <c r="G1453" s="12">
        <v>35600</v>
      </c>
      <c r="H1453" s="11" t="str">
        <f t="shared" si="48"/>
        <v>平成4年12月5日</v>
      </c>
      <c r="I1453" s="22">
        <f t="shared" si="49"/>
        <v>33943</v>
      </c>
      <c r="J1453" s="1" t="str">
        <f>"00742953"</f>
        <v>00742953</v>
      </c>
      <c r="K1453" s="1" t="str">
        <f>"３３４　　　　　　　　　　　　　　　　　"</f>
        <v>３３４　　　　　　　　　　　　　　　　　</v>
      </c>
      <c r="L1453" s="1"/>
    </row>
    <row r="1454" spans="1:12" ht="18" customHeight="1" x14ac:dyDescent="0.15">
      <c r="A1454" s="11">
        <v>3277</v>
      </c>
      <c r="B1454" s="11" t="s">
        <v>54</v>
      </c>
      <c r="C1454" s="11" t="s">
        <v>182</v>
      </c>
      <c r="D1454" s="11">
        <v>1</v>
      </c>
      <c r="E1454" s="11" t="s">
        <v>4</v>
      </c>
      <c r="F1454" s="12">
        <v>35600</v>
      </c>
      <c r="G1454" s="12">
        <v>35600</v>
      </c>
      <c r="H1454" s="11" t="str">
        <f t="shared" ref="H1454:H1517" si="50">"平成4年12月5日"</f>
        <v>平成4年12月5日</v>
      </c>
      <c r="I1454" s="22">
        <f t="shared" si="49"/>
        <v>33943</v>
      </c>
      <c r="J1454" s="1" t="str">
        <f>"00742955"</f>
        <v>00742955</v>
      </c>
      <c r="K1454" s="1" t="str">
        <f>"３３５　　　　　　　　　　　　　　　　　"</f>
        <v>３３５　　　　　　　　　　　　　　　　　</v>
      </c>
      <c r="L1454" s="1"/>
    </row>
    <row r="1455" spans="1:12" ht="18" customHeight="1" x14ac:dyDescent="0.15">
      <c r="A1455" s="11">
        <v>3278</v>
      </c>
      <c r="B1455" s="11" t="s">
        <v>54</v>
      </c>
      <c r="C1455" s="11" t="s">
        <v>182</v>
      </c>
      <c r="D1455" s="11">
        <v>1</v>
      </c>
      <c r="E1455" s="11" t="s">
        <v>4</v>
      </c>
      <c r="F1455" s="12">
        <v>35600</v>
      </c>
      <c r="G1455" s="12">
        <v>35600</v>
      </c>
      <c r="H1455" s="11" t="str">
        <f t="shared" si="50"/>
        <v>平成4年12月5日</v>
      </c>
      <c r="I1455" s="22">
        <f t="shared" si="49"/>
        <v>33943</v>
      </c>
      <c r="J1455" s="1" t="str">
        <f>"00742957"</f>
        <v>00742957</v>
      </c>
      <c r="K1455" s="1" t="str">
        <f>"３３６　　　　　　　　　　　　　　　　　"</f>
        <v>３３６　　　　　　　　　　　　　　　　　</v>
      </c>
      <c r="L1455" s="1"/>
    </row>
    <row r="1456" spans="1:12" ht="18" customHeight="1" x14ac:dyDescent="0.15">
      <c r="A1456" s="11">
        <v>3279</v>
      </c>
      <c r="B1456" s="11" t="s">
        <v>54</v>
      </c>
      <c r="C1456" s="11" t="s">
        <v>182</v>
      </c>
      <c r="D1456" s="11">
        <v>1</v>
      </c>
      <c r="E1456" s="11" t="s">
        <v>4</v>
      </c>
      <c r="F1456" s="12">
        <v>35600</v>
      </c>
      <c r="G1456" s="12">
        <v>35600</v>
      </c>
      <c r="H1456" s="11" t="str">
        <f t="shared" si="50"/>
        <v>平成4年12月5日</v>
      </c>
      <c r="I1456" s="22">
        <f t="shared" si="49"/>
        <v>33943</v>
      </c>
      <c r="J1456" s="1" t="str">
        <f>"00742959"</f>
        <v>00742959</v>
      </c>
      <c r="K1456" s="1" t="str">
        <f>"３３７　　　　　　　　　　　　　　　　　"</f>
        <v>３３７　　　　　　　　　　　　　　　　　</v>
      </c>
      <c r="L1456" s="1"/>
    </row>
    <row r="1457" spans="1:12" ht="18" customHeight="1" x14ac:dyDescent="0.15">
      <c r="A1457" s="11">
        <v>3280</v>
      </c>
      <c r="B1457" s="11" t="s">
        <v>54</v>
      </c>
      <c r="C1457" s="11" t="s">
        <v>182</v>
      </c>
      <c r="D1457" s="11">
        <v>1</v>
      </c>
      <c r="E1457" s="11" t="s">
        <v>4</v>
      </c>
      <c r="F1457" s="12">
        <v>35600</v>
      </c>
      <c r="G1457" s="12">
        <v>35600</v>
      </c>
      <c r="H1457" s="11" t="str">
        <f t="shared" si="50"/>
        <v>平成4年12月5日</v>
      </c>
      <c r="I1457" s="22">
        <f t="shared" si="49"/>
        <v>33943</v>
      </c>
      <c r="J1457" s="1" t="str">
        <f>"00742961"</f>
        <v>00742961</v>
      </c>
      <c r="K1457" s="1" t="str">
        <f>"３３８　　　　　　　　　　　　　　　　　"</f>
        <v>３３８　　　　　　　　　　　　　　　　　</v>
      </c>
      <c r="L1457" s="1"/>
    </row>
    <row r="1458" spans="1:12" ht="18" customHeight="1" x14ac:dyDescent="0.15">
      <c r="A1458" s="11">
        <v>3281</v>
      </c>
      <c r="B1458" s="11" t="s">
        <v>54</v>
      </c>
      <c r="C1458" s="11" t="s">
        <v>182</v>
      </c>
      <c r="D1458" s="11">
        <v>1</v>
      </c>
      <c r="E1458" s="11" t="s">
        <v>4</v>
      </c>
      <c r="F1458" s="12">
        <v>35600</v>
      </c>
      <c r="G1458" s="12">
        <v>35600</v>
      </c>
      <c r="H1458" s="11" t="str">
        <f t="shared" si="50"/>
        <v>平成4年12月5日</v>
      </c>
      <c r="I1458" s="22">
        <f t="shared" si="49"/>
        <v>33943</v>
      </c>
      <c r="J1458" s="1" t="str">
        <f>"00742963"</f>
        <v>00742963</v>
      </c>
      <c r="K1458" s="1" t="str">
        <f>"３３９　　　　　　　　　　　　　　　　　"</f>
        <v>３３９　　　　　　　　　　　　　　　　　</v>
      </c>
      <c r="L1458" s="1"/>
    </row>
    <row r="1459" spans="1:12" ht="18" customHeight="1" x14ac:dyDescent="0.15">
      <c r="A1459" s="11">
        <v>3282</v>
      </c>
      <c r="B1459" s="11" t="s">
        <v>54</v>
      </c>
      <c r="C1459" s="11" t="s">
        <v>182</v>
      </c>
      <c r="D1459" s="11">
        <v>1</v>
      </c>
      <c r="E1459" s="11" t="s">
        <v>4</v>
      </c>
      <c r="F1459" s="12">
        <v>35600</v>
      </c>
      <c r="G1459" s="12">
        <v>35600</v>
      </c>
      <c r="H1459" s="11" t="str">
        <f t="shared" si="50"/>
        <v>平成4年12月5日</v>
      </c>
      <c r="I1459" s="22">
        <f t="shared" si="49"/>
        <v>33943</v>
      </c>
      <c r="J1459" s="1" t="str">
        <f>"00742965"</f>
        <v>00742965</v>
      </c>
      <c r="K1459" s="1" t="str">
        <f>"３４１　　　　　　　　　　　　　　　　　"</f>
        <v>３４１　　　　　　　　　　　　　　　　　</v>
      </c>
      <c r="L1459" s="1"/>
    </row>
    <row r="1460" spans="1:12" ht="18" customHeight="1" x14ac:dyDescent="0.15">
      <c r="A1460" s="11">
        <v>3283</v>
      </c>
      <c r="B1460" s="11" t="s">
        <v>54</v>
      </c>
      <c r="C1460" s="11" t="s">
        <v>182</v>
      </c>
      <c r="D1460" s="11">
        <v>1</v>
      </c>
      <c r="E1460" s="11" t="s">
        <v>4</v>
      </c>
      <c r="F1460" s="12">
        <v>35600</v>
      </c>
      <c r="G1460" s="12">
        <v>35600</v>
      </c>
      <c r="H1460" s="11" t="str">
        <f t="shared" si="50"/>
        <v>平成4年12月5日</v>
      </c>
      <c r="I1460" s="22">
        <f t="shared" si="49"/>
        <v>33943</v>
      </c>
      <c r="J1460" s="1" t="str">
        <f>"00742967"</f>
        <v>00742967</v>
      </c>
      <c r="K1460" s="1" t="str">
        <f>"３４２　　　　　　　　　　　　　　　　　"</f>
        <v>３４２　　　　　　　　　　　　　　　　　</v>
      </c>
      <c r="L1460" s="1"/>
    </row>
    <row r="1461" spans="1:12" ht="18" customHeight="1" x14ac:dyDescent="0.15">
      <c r="A1461" s="11">
        <v>3284</v>
      </c>
      <c r="B1461" s="11" t="s">
        <v>54</v>
      </c>
      <c r="C1461" s="11" t="s">
        <v>182</v>
      </c>
      <c r="D1461" s="11">
        <v>1</v>
      </c>
      <c r="E1461" s="11" t="s">
        <v>4</v>
      </c>
      <c r="F1461" s="12">
        <v>35600</v>
      </c>
      <c r="G1461" s="12">
        <v>35600</v>
      </c>
      <c r="H1461" s="11" t="str">
        <f t="shared" si="50"/>
        <v>平成4年12月5日</v>
      </c>
      <c r="I1461" s="22">
        <f t="shared" si="49"/>
        <v>33943</v>
      </c>
      <c r="J1461" s="1" t="str">
        <f>"00742969"</f>
        <v>00742969</v>
      </c>
      <c r="K1461" s="1" t="str">
        <f>"３４３　　　　　　　　　　　　　　　　　"</f>
        <v>３４３　　　　　　　　　　　　　　　　　</v>
      </c>
      <c r="L1461" s="1"/>
    </row>
    <row r="1462" spans="1:12" ht="18" customHeight="1" x14ac:dyDescent="0.15">
      <c r="A1462" s="11">
        <v>3285</v>
      </c>
      <c r="B1462" s="11" t="s">
        <v>54</v>
      </c>
      <c r="C1462" s="11" t="s">
        <v>182</v>
      </c>
      <c r="D1462" s="11">
        <v>1</v>
      </c>
      <c r="E1462" s="11" t="s">
        <v>4</v>
      </c>
      <c r="F1462" s="12">
        <v>35600</v>
      </c>
      <c r="G1462" s="12">
        <v>35600</v>
      </c>
      <c r="H1462" s="11" t="str">
        <f t="shared" si="50"/>
        <v>平成4年12月5日</v>
      </c>
      <c r="I1462" s="22">
        <f t="shared" si="49"/>
        <v>33943</v>
      </c>
      <c r="J1462" s="1" t="str">
        <f>"00742971"</f>
        <v>00742971</v>
      </c>
      <c r="K1462" s="1" t="str">
        <f>"３４４　　　　　　　　　　　　　　　　　"</f>
        <v>３４４　　　　　　　　　　　　　　　　　</v>
      </c>
      <c r="L1462" s="1"/>
    </row>
    <row r="1463" spans="1:12" ht="18" customHeight="1" x14ac:dyDescent="0.15">
      <c r="A1463" s="11">
        <v>3286</v>
      </c>
      <c r="B1463" s="11" t="s">
        <v>54</v>
      </c>
      <c r="C1463" s="11" t="s">
        <v>182</v>
      </c>
      <c r="D1463" s="11">
        <v>1</v>
      </c>
      <c r="E1463" s="11" t="s">
        <v>4</v>
      </c>
      <c r="F1463" s="12">
        <v>35600</v>
      </c>
      <c r="G1463" s="12">
        <v>35600</v>
      </c>
      <c r="H1463" s="11" t="str">
        <f t="shared" si="50"/>
        <v>平成4年12月5日</v>
      </c>
      <c r="I1463" s="22">
        <f t="shared" si="49"/>
        <v>33943</v>
      </c>
      <c r="J1463" s="1" t="str">
        <f>"00742973"</f>
        <v>00742973</v>
      </c>
      <c r="K1463" s="1" t="str">
        <f>"３４５　　　　　　　　　　　　　　　　　"</f>
        <v>３４５　　　　　　　　　　　　　　　　　</v>
      </c>
      <c r="L1463" s="1"/>
    </row>
    <row r="1464" spans="1:12" ht="18" customHeight="1" x14ac:dyDescent="0.15">
      <c r="A1464" s="11">
        <v>3287</v>
      </c>
      <c r="B1464" s="11" t="s">
        <v>54</v>
      </c>
      <c r="C1464" s="11" t="s">
        <v>182</v>
      </c>
      <c r="D1464" s="11">
        <v>1</v>
      </c>
      <c r="E1464" s="11" t="s">
        <v>4</v>
      </c>
      <c r="F1464" s="12">
        <v>35600</v>
      </c>
      <c r="G1464" s="12">
        <v>35600</v>
      </c>
      <c r="H1464" s="11" t="str">
        <f t="shared" si="50"/>
        <v>平成4年12月5日</v>
      </c>
      <c r="I1464" s="22">
        <f t="shared" si="49"/>
        <v>33943</v>
      </c>
      <c r="J1464" s="1" t="str">
        <f>"00742975"</f>
        <v>00742975</v>
      </c>
      <c r="K1464" s="1" t="str">
        <f>"３４６　　　　　　　　　　　　　　　　　"</f>
        <v>３４６　　　　　　　　　　　　　　　　　</v>
      </c>
      <c r="L1464" s="1"/>
    </row>
    <row r="1465" spans="1:12" ht="18" customHeight="1" x14ac:dyDescent="0.15">
      <c r="A1465" s="11">
        <v>3288</v>
      </c>
      <c r="B1465" s="11" t="s">
        <v>54</v>
      </c>
      <c r="C1465" s="11" t="s">
        <v>181</v>
      </c>
      <c r="D1465" s="11">
        <v>1</v>
      </c>
      <c r="E1465" s="11" t="s">
        <v>4</v>
      </c>
      <c r="F1465" s="12">
        <v>30488</v>
      </c>
      <c r="G1465" s="12">
        <v>30488</v>
      </c>
      <c r="H1465" s="11" t="str">
        <f t="shared" si="50"/>
        <v>平成4年12月5日</v>
      </c>
      <c r="I1465" s="22">
        <f t="shared" si="49"/>
        <v>33943</v>
      </c>
      <c r="J1465" s="1" t="str">
        <f>"00742977"</f>
        <v>00742977</v>
      </c>
      <c r="K1465" s="1" t="str">
        <f>"３４７　　　　　　　　　　　　　　　　　"</f>
        <v>３４７　　　　　　　　　　　　　　　　　</v>
      </c>
      <c r="L1465" s="1"/>
    </row>
    <row r="1466" spans="1:12" ht="18" customHeight="1" x14ac:dyDescent="0.15">
      <c r="A1466" s="11">
        <v>3289</v>
      </c>
      <c r="B1466" s="11" t="s">
        <v>54</v>
      </c>
      <c r="C1466" s="11" t="s">
        <v>181</v>
      </c>
      <c r="D1466" s="11">
        <v>1</v>
      </c>
      <c r="E1466" s="11" t="s">
        <v>4</v>
      </c>
      <c r="F1466" s="12">
        <v>39964</v>
      </c>
      <c r="G1466" s="12">
        <v>39964</v>
      </c>
      <c r="H1466" s="11" t="str">
        <f t="shared" si="50"/>
        <v>平成4年12月5日</v>
      </c>
      <c r="I1466" s="22">
        <f t="shared" si="49"/>
        <v>33943</v>
      </c>
      <c r="J1466" s="1" t="str">
        <f>"00742983"</f>
        <v>00742983</v>
      </c>
      <c r="K1466" s="1" t="str">
        <f>"３５２　　　　　　　　　　　　　　　　　"</f>
        <v>３５２　　　　　　　　　　　　　　　　　</v>
      </c>
      <c r="L1466" s="1"/>
    </row>
    <row r="1467" spans="1:12" ht="18" customHeight="1" x14ac:dyDescent="0.15">
      <c r="A1467" s="11">
        <v>3290</v>
      </c>
      <c r="B1467" s="11" t="s">
        <v>54</v>
      </c>
      <c r="C1467" s="11" t="s">
        <v>183</v>
      </c>
      <c r="D1467" s="11">
        <v>1</v>
      </c>
      <c r="E1467" s="11" t="s">
        <v>4</v>
      </c>
      <c r="F1467" s="12">
        <v>29097</v>
      </c>
      <c r="G1467" s="12">
        <v>29097</v>
      </c>
      <c r="H1467" s="11" t="str">
        <f t="shared" si="50"/>
        <v>平成4年12月5日</v>
      </c>
      <c r="I1467" s="22">
        <f t="shared" si="49"/>
        <v>33943</v>
      </c>
      <c r="J1467" s="1" t="str">
        <f>"00742987"</f>
        <v>00742987</v>
      </c>
      <c r="K1467" s="1" t="str">
        <f>"３５６　　　　　　　　　　　　　　　　　"</f>
        <v>３５６　　　　　　　　　　　　　　　　　</v>
      </c>
      <c r="L1467" s="1"/>
    </row>
    <row r="1468" spans="1:12" ht="18" customHeight="1" x14ac:dyDescent="0.15">
      <c r="A1468" s="11">
        <v>3291</v>
      </c>
      <c r="B1468" s="11" t="s">
        <v>54</v>
      </c>
      <c r="C1468" s="11" t="s">
        <v>183</v>
      </c>
      <c r="D1468" s="11">
        <v>1</v>
      </c>
      <c r="E1468" s="11" t="s">
        <v>4</v>
      </c>
      <c r="F1468" s="12">
        <v>29097</v>
      </c>
      <c r="G1468" s="12">
        <v>29097</v>
      </c>
      <c r="H1468" s="11" t="str">
        <f t="shared" si="50"/>
        <v>平成4年12月5日</v>
      </c>
      <c r="I1468" s="22">
        <f t="shared" si="49"/>
        <v>33943</v>
      </c>
      <c r="J1468" s="1" t="str">
        <f>"00742989"</f>
        <v>00742989</v>
      </c>
      <c r="K1468" s="1" t="str">
        <f>"３６０　　　　　　　　　　　　　　　　　"</f>
        <v>３６０　　　　　　　　　　　　　　　　　</v>
      </c>
      <c r="L1468" s="1"/>
    </row>
    <row r="1469" spans="1:12" ht="18" customHeight="1" x14ac:dyDescent="0.15">
      <c r="A1469" s="11">
        <v>3292</v>
      </c>
      <c r="B1469" s="11" t="s">
        <v>54</v>
      </c>
      <c r="C1469" s="11" t="s">
        <v>183</v>
      </c>
      <c r="D1469" s="11">
        <v>1</v>
      </c>
      <c r="E1469" s="11" t="s">
        <v>4</v>
      </c>
      <c r="F1469" s="12">
        <v>29097</v>
      </c>
      <c r="G1469" s="12">
        <v>29097</v>
      </c>
      <c r="H1469" s="11" t="str">
        <f t="shared" si="50"/>
        <v>平成4年12月5日</v>
      </c>
      <c r="I1469" s="22">
        <f t="shared" si="49"/>
        <v>33943</v>
      </c>
      <c r="J1469" s="1" t="str">
        <f>"00742995"</f>
        <v>00742995</v>
      </c>
      <c r="K1469" s="1" t="str">
        <f>"３６５　　　　　　　　　　　　　　　　　"</f>
        <v>３６５　　　　　　　　　　　　　　　　　</v>
      </c>
      <c r="L1469" s="1"/>
    </row>
    <row r="1470" spans="1:12" ht="18" customHeight="1" x14ac:dyDescent="0.15">
      <c r="A1470" s="11">
        <v>3293</v>
      </c>
      <c r="B1470" s="11" t="s">
        <v>54</v>
      </c>
      <c r="C1470" s="11" t="s">
        <v>183</v>
      </c>
      <c r="D1470" s="11">
        <v>1</v>
      </c>
      <c r="E1470" s="11" t="s">
        <v>4</v>
      </c>
      <c r="F1470" s="12">
        <v>29097</v>
      </c>
      <c r="G1470" s="12">
        <v>29097</v>
      </c>
      <c r="H1470" s="11" t="str">
        <f t="shared" si="50"/>
        <v>平成4年12月5日</v>
      </c>
      <c r="I1470" s="22">
        <f t="shared" si="49"/>
        <v>33943</v>
      </c>
      <c r="J1470" s="1" t="str">
        <f>"00742997"</f>
        <v>00742997</v>
      </c>
      <c r="K1470" s="1" t="str">
        <f>"３６６　　　　　　　　　　　　　　　　　"</f>
        <v>３６６　　　　　　　　　　　　　　　　　</v>
      </c>
      <c r="L1470" s="1"/>
    </row>
    <row r="1471" spans="1:12" ht="18" customHeight="1" x14ac:dyDescent="0.15">
      <c r="A1471" s="11">
        <v>3294</v>
      </c>
      <c r="B1471" s="11" t="s">
        <v>54</v>
      </c>
      <c r="C1471" s="11" t="s">
        <v>183</v>
      </c>
      <c r="D1471" s="11">
        <v>1</v>
      </c>
      <c r="E1471" s="11" t="s">
        <v>4</v>
      </c>
      <c r="F1471" s="12">
        <v>39706</v>
      </c>
      <c r="G1471" s="12">
        <v>39706</v>
      </c>
      <c r="H1471" s="11" t="str">
        <f t="shared" si="50"/>
        <v>平成4年12月5日</v>
      </c>
      <c r="I1471" s="22">
        <f t="shared" si="49"/>
        <v>33943</v>
      </c>
      <c r="J1471" s="1" t="str">
        <f>"00742999"</f>
        <v>00742999</v>
      </c>
      <c r="K1471" s="1" t="str">
        <f>"３６７　　　　　　　　　　　　　　　　　"</f>
        <v>３６７　　　　　　　　　　　　　　　　　</v>
      </c>
      <c r="L1471" s="1"/>
    </row>
    <row r="1472" spans="1:12" ht="18" customHeight="1" x14ac:dyDescent="0.15">
      <c r="A1472" s="11">
        <v>3295</v>
      </c>
      <c r="B1472" s="11" t="s">
        <v>54</v>
      </c>
      <c r="C1472" s="11" t="s">
        <v>183</v>
      </c>
      <c r="D1472" s="11">
        <v>1</v>
      </c>
      <c r="E1472" s="11" t="s">
        <v>4</v>
      </c>
      <c r="F1472" s="12">
        <v>39706</v>
      </c>
      <c r="G1472" s="12">
        <v>39706</v>
      </c>
      <c r="H1472" s="11" t="str">
        <f t="shared" si="50"/>
        <v>平成4年12月5日</v>
      </c>
      <c r="I1472" s="22">
        <f t="shared" si="49"/>
        <v>33943</v>
      </c>
      <c r="J1472" s="1" t="str">
        <f>"00743001"</f>
        <v>00743001</v>
      </c>
      <c r="K1472" s="1" t="str">
        <f>"３６８　　　　　　　　　　　　　　　　　"</f>
        <v>３６８　　　　　　　　　　　　　　　　　</v>
      </c>
      <c r="L1472" s="1"/>
    </row>
    <row r="1473" spans="1:12" ht="18" customHeight="1" x14ac:dyDescent="0.15">
      <c r="A1473" s="11">
        <v>3296</v>
      </c>
      <c r="B1473" s="11" t="s">
        <v>54</v>
      </c>
      <c r="C1473" s="11" t="s">
        <v>183</v>
      </c>
      <c r="D1473" s="11">
        <v>1</v>
      </c>
      <c r="E1473" s="11" t="s">
        <v>4</v>
      </c>
      <c r="F1473" s="12">
        <v>39706</v>
      </c>
      <c r="G1473" s="12">
        <v>39706</v>
      </c>
      <c r="H1473" s="11" t="str">
        <f t="shared" si="50"/>
        <v>平成4年12月5日</v>
      </c>
      <c r="I1473" s="22">
        <f t="shared" si="49"/>
        <v>33943</v>
      </c>
      <c r="J1473" s="1" t="str">
        <f>"00743003"</f>
        <v>00743003</v>
      </c>
      <c r="K1473" s="1" t="str">
        <f>"３６９　　　　　　　　　　　　　　　　　"</f>
        <v>３６９　　　　　　　　　　　　　　　　　</v>
      </c>
      <c r="L1473" s="1"/>
    </row>
    <row r="1474" spans="1:12" ht="18" customHeight="1" x14ac:dyDescent="0.15">
      <c r="A1474" s="11">
        <v>3297</v>
      </c>
      <c r="B1474" s="11" t="s">
        <v>54</v>
      </c>
      <c r="C1474" s="11" t="s">
        <v>183</v>
      </c>
      <c r="D1474" s="11">
        <v>1</v>
      </c>
      <c r="E1474" s="11" t="s">
        <v>4</v>
      </c>
      <c r="F1474" s="12">
        <v>39706</v>
      </c>
      <c r="G1474" s="12">
        <v>39706</v>
      </c>
      <c r="H1474" s="11" t="str">
        <f t="shared" si="50"/>
        <v>平成4年12月5日</v>
      </c>
      <c r="I1474" s="22">
        <f t="shared" si="49"/>
        <v>33943</v>
      </c>
      <c r="J1474" s="1" t="str">
        <f>"00743007"</f>
        <v>00743007</v>
      </c>
      <c r="K1474" s="1" t="str">
        <f>"３７１　　　　　　　　　　　　　　　　　"</f>
        <v>３７１　　　　　　　　　　　　　　　　　</v>
      </c>
      <c r="L1474" s="1"/>
    </row>
    <row r="1475" spans="1:12" ht="18" customHeight="1" x14ac:dyDescent="0.15">
      <c r="A1475" s="11">
        <v>3298</v>
      </c>
      <c r="B1475" s="11" t="s">
        <v>54</v>
      </c>
      <c r="C1475" s="11" t="s">
        <v>183</v>
      </c>
      <c r="D1475" s="11">
        <v>1</v>
      </c>
      <c r="E1475" s="11" t="s">
        <v>4</v>
      </c>
      <c r="F1475" s="12">
        <v>39706</v>
      </c>
      <c r="G1475" s="12">
        <v>39706</v>
      </c>
      <c r="H1475" s="11" t="str">
        <f t="shared" si="50"/>
        <v>平成4年12月5日</v>
      </c>
      <c r="I1475" s="22">
        <f t="shared" si="49"/>
        <v>33943</v>
      </c>
      <c r="J1475" s="1" t="str">
        <f>"00743009"</f>
        <v>00743009</v>
      </c>
      <c r="K1475" s="1" t="str">
        <f>"３７２　　　　　　　　　　　　　　　　　"</f>
        <v>３７２　　　　　　　　　　　　　　　　　</v>
      </c>
      <c r="L1475" s="1"/>
    </row>
    <row r="1476" spans="1:12" ht="18" customHeight="1" x14ac:dyDescent="0.15">
      <c r="A1476" s="11">
        <v>3299</v>
      </c>
      <c r="B1476" s="11" t="s">
        <v>54</v>
      </c>
      <c r="C1476" s="11" t="s">
        <v>183</v>
      </c>
      <c r="D1476" s="11">
        <v>1</v>
      </c>
      <c r="E1476" s="11" t="s">
        <v>4</v>
      </c>
      <c r="F1476" s="12">
        <v>39706</v>
      </c>
      <c r="G1476" s="12">
        <v>39706</v>
      </c>
      <c r="H1476" s="11" t="str">
        <f t="shared" si="50"/>
        <v>平成4年12月5日</v>
      </c>
      <c r="I1476" s="22">
        <f t="shared" si="49"/>
        <v>33943</v>
      </c>
      <c r="J1476" s="1" t="str">
        <f>"00743011"</f>
        <v>00743011</v>
      </c>
      <c r="K1476" s="1" t="str">
        <f>"３７３　　　　　　　　　　　　　　　　　"</f>
        <v>３７３　　　　　　　　　　　　　　　　　</v>
      </c>
      <c r="L1476" s="1"/>
    </row>
    <row r="1477" spans="1:12" ht="18" customHeight="1" x14ac:dyDescent="0.15">
      <c r="A1477" s="11">
        <v>3300</v>
      </c>
      <c r="B1477" s="11" t="s">
        <v>54</v>
      </c>
      <c r="C1477" s="11" t="s">
        <v>183</v>
      </c>
      <c r="D1477" s="11">
        <v>1</v>
      </c>
      <c r="E1477" s="11" t="s">
        <v>4</v>
      </c>
      <c r="F1477" s="12">
        <v>39706</v>
      </c>
      <c r="G1477" s="12">
        <v>39706</v>
      </c>
      <c r="H1477" s="11" t="str">
        <f t="shared" si="50"/>
        <v>平成4年12月5日</v>
      </c>
      <c r="I1477" s="22">
        <f t="shared" si="49"/>
        <v>33943</v>
      </c>
      <c r="J1477" s="1" t="str">
        <f>"00743013"</f>
        <v>00743013</v>
      </c>
      <c r="K1477" s="1" t="str">
        <f>"３７４　　　　　　　　　　　　　　　　　"</f>
        <v>３７４　　　　　　　　　　　　　　　　　</v>
      </c>
      <c r="L1477" s="1"/>
    </row>
    <row r="1478" spans="1:12" ht="18" customHeight="1" x14ac:dyDescent="0.15">
      <c r="A1478" s="11">
        <v>3301</v>
      </c>
      <c r="B1478" s="11" t="s">
        <v>54</v>
      </c>
      <c r="C1478" s="11" t="s">
        <v>183</v>
      </c>
      <c r="D1478" s="11">
        <v>1</v>
      </c>
      <c r="E1478" s="11" t="s">
        <v>4</v>
      </c>
      <c r="F1478" s="12">
        <v>54538</v>
      </c>
      <c r="G1478" s="12">
        <v>54538</v>
      </c>
      <c r="H1478" s="11" t="str">
        <f t="shared" si="50"/>
        <v>平成4年12月5日</v>
      </c>
      <c r="I1478" s="22">
        <f t="shared" si="49"/>
        <v>33943</v>
      </c>
      <c r="J1478" s="1" t="str">
        <f>"00743015"</f>
        <v>00743015</v>
      </c>
      <c r="K1478" s="1" t="str">
        <f>"３７５　　　　　　　　　　　　　　　　　"</f>
        <v>３７５　　　　　　　　　　　　　　　　　</v>
      </c>
      <c r="L1478" s="1"/>
    </row>
    <row r="1479" spans="1:12" ht="18" customHeight="1" x14ac:dyDescent="0.15">
      <c r="A1479" s="11">
        <v>3302</v>
      </c>
      <c r="B1479" s="11" t="s">
        <v>54</v>
      </c>
      <c r="C1479" s="11" t="s">
        <v>183</v>
      </c>
      <c r="D1479" s="11">
        <v>1</v>
      </c>
      <c r="E1479" s="11" t="s">
        <v>4</v>
      </c>
      <c r="F1479" s="12">
        <v>54538</v>
      </c>
      <c r="G1479" s="12">
        <v>54538</v>
      </c>
      <c r="H1479" s="11" t="str">
        <f t="shared" si="50"/>
        <v>平成4年12月5日</v>
      </c>
      <c r="I1479" s="22">
        <f t="shared" si="49"/>
        <v>33943</v>
      </c>
      <c r="J1479" s="1" t="str">
        <f>"00743017"</f>
        <v>00743017</v>
      </c>
      <c r="K1479" s="1" t="str">
        <f>"３７６　　　　　　　　　　　　　　　　　"</f>
        <v>３７６　　　　　　　　　　　　　　　　　</v>
      </c>
      <c r="L1479" s="1"/>
    </row>
    <row r="1480" spans="1:12" ht="18" customHeight="1" x14ac:dyDescent="0.15">
      <c r="A1480" s="11">
        <v>3303</v>
      </c>
      <c r="B1480" s="11" t="s">
        <v>54</v>
      </c>
      <c r="C1480" s="11" t="s">
        <v>183</v>
      </c>
      <c r="D1480" s="11">
        <v>1</v>
      </c>
      <c r="E1480" s="11" t="s">
        <v>4</v>
      </c>
      <c r="F1480" s="12">
        <v>54538</v>
      </c>
      <c r="G1480" s="12">
        <v>54538</v>
      </c>
      <c r="H1480" s="11" t="str">
        <f t="shared" si="50"/>
        <v>平成4年12月5日</v>
      </c>
      <c r="I1480" s="22">
        <f t="shared" si="49"/>
        <v>33943</v>
      </c>
      <c r="J1480" s="1" t="str">
        <f>"00743019"</f>
        <v>00743019</v>
      </c>
      <c r="K1480" s="1" t="str">
        <f>"３７７　　　　　　　　　　　　　　　　　"</f>
        <v>３７７　　　　　　　　　　　　　　　　　</v>
      </c>
      <c r="L1480" s="1"/>
    </row>
    <row r="1481" spans="1:12" ht="18" customHeight="1" x14ac:dyDescent="0.15">
      <c r="A1481" s="11">
        <v>3304</v>
      </c>
      <c r="B1481" s="11" t="s">
        <v>54</v>
      </c>
      <c r="C1481" s="11" t="s">
        <v>183</v>
      </c>
      <c r="D1481" s="11">
        <v>1</v>
      </c>
      <c r="E1481" s="11" t="s">
        <v>4</v>
      </c>
      <c r="F1481" s="12">
        <v>32805</v>
      </c>
      <c r="G1481" s="12">
        <v>32805</v>
      </c>
      <c r="H1481" s="11" t="str">
        <f t="shared" si="50"/>
        <v>平成4年12月5日</v>
      </c>
      <c r="I1481" s="22">
        <f t="shared" si="49"/>
        <v>33943</v>
      </c>
      <c r="J1481" s="1" t="str">
        <f>"00743027"</f>
        <v>00743027</v>
      </c>
      <c r="K1481" s="1" t="str">
        <f>"３８１　　　　　　　　　　　　　　　　　"</f>
        <v>３８１　　　　　　　　　　　　　　　　　</v>
      </c>
      <c r="L1481" s="1"/>
    </row>
    <row r="1482" spans="1:12" ht="18" customHeight="1" x14ac:dyDescent="0.15">
      <c r="A1482" s="11">
        <v>3305</v>
      </c>
      <c r="B1482" s="11" t="s">
        <v>54</v>
      </c>
      <c r="C1482" s="11" t="s">
        <v>183</v>
      </c>
      <c r="D1482" s="11">
        <v>1</v>
      </c>
      <c r="E1482" s="11" t="s">
        <v>4</v>
      </c>
      <c r="F1482" s="12">
        <v>32805</v>
      </c>
      <c r="G1482" s="12">
        <v>32805</v>
      </c>
      <c r="H1482" s="11" t="str">
        <f t="shared" si="50"/>
        <v>平成4年12月5日</v>
      </c>
      <c r="I1482" s="22">
        <f t="shared" si="49"/>
        <v>33943</v>
      </c>
      <c r="J1482" s="1" t="str">
        <f>"00743029"</f>
        <v>00743029</v>
      </c>
      <c r="K1482" s="1" t="str">
        <f>"３８３　　　　　　　　　　　　　　　　　"</f>
        <v>３８３　　　　　　　　　　　　　　　　　</v>
      </c>
      <c r="L1482" s="1"/>
    </row>
    <row r="1483" spans="1:12" ht="18" customHeight="1" x14ac:dyDescent="0.15">
      <c r="A1483" s="11">
        <v>3306</v>
      </c>
      <c r="B1483" s="11" t="s">
        <v>54</v>
      </c>
      <c r="C1483" s="11" t="s">
        <v>183</v>
      </c>
      <c r="D1483" s="11">
        <v>1</v>
      </c>
      <c r="E1483" s="11" t="s">
        <v>4</v>
      </c>
      <c r="F1483" s="12">
        <v>32805</v>
      </c>
      <c r="G1483" s="12">
        <v>32805</v>
      </c>
      <c r="H1483" s="11" t="str">
        <f t="shared" si="50"/>
        <v>平成4年12月5日</v>
      </c>
      <c r="I1483" s="22">
        <f t="shared" si="49"/>
        <v>33943</v>
      </c>
      <c r="J1483" s="1" t="str">
        <f>"00743031"</f>
        <v>00743031</v>
      </c>
      <c r="K1483" s="1" t="str">
        <f>"３８４　　　　　　　　　　　　　　　　　"</f>
        <v>３８４　　　　　　　　　　　　　　　　　</v>
      </c>
      <c r="L1483" s="1"/>
    </row>
    <row r="1484" spans="1:12" ht="18" customHeight="1" x14ac:dyDescent="0.15">
      <c r="A1484" s="11">
        <v>3307</v>
      </c>
      <c r="B1484" s="11" t="s">
        <v>54</v>
      </c>
      <c r="C1484" s="11" t="s">
        <v>183</v>
      </c>
      <c r="D1484" s="11">
        <v>1</v>
      </c>
      <c r="E1484" s="11" t="s">
        <v>4</v>
      </c>
      <c r="F1484" s="12">
        <v>32805</v>
      </c>
      <c r="G1484" s="12">
        <v>32805</v>
      </c>
      <c r="H1484" s="11" t="str">
        <f t="shared" si="50"/>
        <v>平成4年12月5日</v>
      </c>
      <c r="I1484" s="22">
        <f t="shared" si="49"/>
        <v>33943</v>
      </c>
      <c r="J1484" s="1" t="str">
        <f>"00743033"</f>
        <v>00743033</v>
      </c>
      <c r="K1484" s="1" t="str">
        <f>"３８５　　　　　　　　　　　　　　　　　"</f>
        <v>３８５　　　　　　　　　　　　　　　　　</v>
      </c>
      <c r="L1484" s="1"/>
    </row>
    <row r="1485" spans="1:12" ht="18" customHeight="1" x14ac:dyDescent="0.15">
      <c r="A1485" s="11">
        <v>3308</v>
      </c>
      <c r="B1485" s="11" t="s">
        <v>54</v>
      </c>
      <c r="C1485" s="11" t="s">
        <v>183</v>
      </c>
      <c r="D1485" s="11">
        <v>1</v>
      </c>
      <c r="E1485" s="11" t="s">
        <v>4</v>
      </c>
      <c r="F1485" s="12">
        <v>32805</v>
      </c>
      <c r="G1485" s="12">
        <v>32805</v>
      </c>
      <c r="H1485" s="11" t="str">
        <f t="shared" si="50"/>
        <v>平成4年12月5日</v>
      </c>
      <c r="I1485" s="22">
        <f t="shared" si="49"/>
        <v>33943</v>
      </c>
      <c r="J1485" s="1" t="str">
        <f>"00743035"</f>
        <v>00743035</v>
      </c>
      <c r="K1485" s="1" t="str">
        <f>"３８６　　　　　　　　　　　　　　　　　"</f>
        <v>３８６　　　　　　　　　　　　　　　　　</v>
      </c>
      <c r="L1485" s="1"/>
    </row>
    <row r="1486" spans="1:12" ht="18" customHeight="1" x14ac:dyDescent="0.15">
      <c r="A1486" s="11">
        <v>3309</v>
      </c>
      <c r="B1486" s="11" t="s">
        <v>54</v>
      </c>
      <c r="C1486" s="11" t="s">
        <v>183</v>
      </c>
      <c r="D1486" s="11">
        <v>1</v>
      </c>
      <c r="E1486" s="11" t="s">
        <v>4</v>
      </c>
      <c r="F1486" s="12">
        <v>32805</v>
      </c>
      <c r="G1486" s="12">
        <v>32805</v>
      </c>
      <c r="H1486" s="11" t="str">
        <f t="shared" si="50"/>
        <v>平成4年12月5日</v>
      </c>
      <c r="I1486" s="22">
        <f t="shared" si="49"/>
        <v>33943</v>
      </c>
      <c r="J1486" s="1" t="str">
        <f>"00743037"</f>
        <v>00743037</v>
      </c>
      <c r="K1486" s="1" t="str">
        <f>"３８７　　　　　　　　　　　　　　　　　"</f>
        <v>３８７　　　　　　　　　　　　　　　　　</v>
      </c>
      <c r="L1486" s="1"/>
    </row>
    <row r="1487" spans="1:12" ht="18" customHeight="1" x14ac:dyDescent="0.15">
      <c r="A1487" s="11">
        <v>3310</v>
      </c>
      <c r="B1487" s="11" t="s">
        <v>54</v>
      </c>
      <c r="C1487" s="11" t="s">
        <v>183</v>
      </c>
      <c r="D1487" s="11">
        <v>1</v>
      </c>
      <c r="E1487" s="11" t="s">
        <v>4</v>
      </c>
      <c r="F1487" s="12">
        <v>32805</v>
      </c>
      <c r="G1487" s="12">
        <v>32805</v>
      </c>
      <c r="H1487" s="11" t="str">
        <f t="shared" si="50"/>
        <v>平成4年12月5日</v>
      </c>
      <c r="I1487" s="22">
        <f t="shared" si="49"/>
        <v>33943</v>
      </c>
      <c r="J1487" s="1" t="str">
        <f>"00743039"</f>
        <v>00743039</v>
      </c>
      <c r="K1487" s="1" t="str">
        <f>"３８８　　　　　　　　　　　　　　　　　"</f>
        <v>３８８　　　　　　　　　　　　　　　　　</v>
      </c>
      <c r="L1487" s="1"/>
    </row>
    <row r="1488" spans="1:12" ht="18" customHeight="1" x14ac:dyDescent="0.15">
      <c r="A1488" s="11">
        <v>3311</v>
      </c>
      <c r="B1488" s="11" t="s">
        <v>54</v>
      </c>
      <c r="C1488" s="11" t="s">
        <v>183</v>
      </c>
      <c r="D1488" s="11">
        <v>1</v>
      </c>
      <c r="E1488" s="11" t="s">
        <v>4</v>
      </c>
      <c r="F1488" s="12">
        <v>32805</v>
      </c>
      <c r="G1488" s="12">
        <v>32805</v>
      </c>
      <c r="H1488" s="11" t="str">
        <f t="shared" si="50"/>
        <v>平成4年12月5日</v>
      </c>
      <c r="I1488" s="22">
        <f t="shared" si="49"/>
        <v>33943</v>
      </c>
      <c r="J1488" s="1" t="str">
        <f>"00743041"</f>
        <v>00743041</v>
      </c>
      <c r="K1488" s="1" t="str">
        <f>"３９０　　　　　　　　　　　　　　　　　"</f>
        <v>３９０　　　　　　　　　　　　　　　　　</v>
      </c>
      <c r="L1488" s="1"/>
    </row>
    <row r="1489" spans="1:12" ht="18" customHeight="1" x14ac:dyDescent="0.15">
      <c r="A1489" s="11">
        <v>3312</v>
      </c>
      <c r="B1489" s="11" t="s">
        <v>54</v>
      </c>
      <c r="C1489" s="11" t="s">
        <v>183</v>
      </c>
      <c r="D1489" s="11">
        <v>1</v>
      </c>
      <c r="E1489" s="11" t="s">
        <v>4</v>
      </c>
      <c r="F1489" s="12">
        <v>32805</v>
      </c>
      <c r="G1489" s="12">
        <v>32805</v>
      </c>
      <c r="H1489" s="11" t="str">
        <f t="shared" si="50"/>
        <v>平成4年12月5日</v>
      </c>
      <c r="I1489" s="22">
        <f t="shared" si="49"/>
        <v>33943</v>
      </c>
      <c r="J1489" s="1" t="str">
        <f>"00743043"</f>
        <v>00743043</v>
      </c>
      <c r="K1489" s="1" t="str">
        <f>"３９１　　　　　　　　　　　　　　　　　"</f>
        <v>３９１　　　　　　　　　　　　　　　　　</v>
      </c>
      <c r="L1489" s="1"/>
    </row>
    <row r="1490" spans="1:12" ht="18" customHeight="1" x14ac:dyDescent="0.15">
      <c r="A1490" s="11">
        <v>3313</v>
      </c>
      <c r="B1490" s="11" t="s">
        <v>54</v>
      </c>
      <c r="C1490" s="11" t="s">
        <v>183</v>
      </c>
      <c r="D1490" s="11">
        <v>1</v>
      </c>
      <c r="E1490" s="11" t="s">
        <v>4</v>
      </c>
      <c r="F1490" s="12">
        <v>32805</v>
      </c>
      <c r="G1490" s="12">
        <v>32805</v>
      </c>
      <c r="H1490" s="11" t="str">
        <f t="shared" si="50"/>
        <v>平成4年12月5日</v>
      </c>
      <c r="I1490" s="22">
        <f t="shared" ref="I1490:I1553" si="51">DATEVALUE(H1490)</f>
        <v>33943</v>
      </c>
      <c r="J1490" s="1" t="str">
        <f>"00743045"</f>
        <v>00743045</v>
      </c>
      <c r="K1490" s="1" t="str">
        <f>"３９２　　　　　　　　　　　　　　　　　"</f>
        <v>３９２　　　　　　　　　　　　　　　　　</v>
      </c>
      <c r="L1490" s="1"/>
    </row>
    <row r="1491" spans="1:12" ht="18" customHeight="1" x14ac:dyDescent="0.15">
      <c r="A1491" s="11">
        <v>3314</v>
      </c>
      <c r="B1491" s="11" t="s">
        <v>54</v>
      </c>
      <c r="C1491" s="11" t="s">
        <v>183</v>
      </c>
      <c r="D1491" s="11">
        <v>1</v>
      </c>
      <c r="E1491" s="11" t="s">
        <v>4</v>
      </c>
      <c r="F1491" s="12">
        <v>32805</v>
      </c>
      <c r="G1491" s="12">
        <v>32805</v>
      </c>
      <c r="H1491" s="11" t="str">
        <f t="shared" si="50"/>
        <v>平成4年12月5日</v>
      </c>
      <c r="I1491" s="22">
        <f t="shared" si="51"/>
        <v>33943</v>
      </c>
      <c r="J1491" s="1" t="str">
        <f>"00743047"</f>
        <v>00743047</v>
      </c>
      <c r="K1491" s="1" t="str">
        <f>"３９４　　　　　　　　　　　　　　　　　"</f>
        <v>３９４　　　　　　　　　　　　　　　　　</v>
      </c>
      <c r="L1491" s="1"/>
    </row>
    <row r="1492" spans="1:12" ht="18" customHeight="1" x14ac:dyDescent="0.15">
      <c r="A1492" s="11">
        <v>3315</v>
      </c>
      <c r="B1492" s="11" t="s">
        <v>54</v>
      </c>
      <c r="C1492" s="11" t="s">
        <v>183</v>
      </c>
      <c r="D1492" s="11">
        <v>1</v>
      </c>
      <c r="E1492" s="11" t="s">
        <v>4</v>
      </c>
      <c r="F1492" s="12">
        <v>32805</v>
      </c>
      <c r="G1492" s="12">
        <v>32805</v>
      </c>
      <c r="H1492" s="11" t="str">
        <f t="shared" si="50"/>
        <v>平成4年12月5日</v>
      </c>
      <c r="I1492" s="22">
        <f t="shared" si="51"/>
        <v>33943</v>
      </c>
      <c r="J1492" s="1" t="str">
        <f>"00743049"</f>
        <v>00743049</v>
      </c>
      <c r="K1492" s="1" t="str">
        <f>"３９５　　　　　　　　　　　　　　　　　"</f>
        <v>３９５　　　　　　　　　　　　　　　　　</v>
      </c>
      <c r="L1492" s="1"/>
    </row>
    <row r="1493" spans="1:12" ht="18" customHeight="1" x14ac:dyDescent="0.15">
      <c r="A1493" s="11">
        <v>3316</v>
      </c>
      <c r="B1493" s="11" t="s">
        <v>54</v>
      </c>
      <c r="C1493" s="11" t="s">
        <v>183</v>
      </c>
      <c r="D1493" s="11">
        <v>1</v>
      </c>
      <c r="E1493" s="11" t="s">
        <v>4</v>
      </c>
      <c r="F1493" s="12">
        <v>32805</v>
      </c>
      <c r="G1493" s="12">
        <v>32805</v>
      </c>
      <c r="H1493" s="11" t="str">
        <f t="shared" si="50"/>
        <v>平成4年12月5日</v>
      </c>
      <c r="I1493" s="22">
        <f t="shared" si="51"/>
        <v>33943</v>
      </c>
      <c r="J1493" s="1" t="str">
        <f>"00743051"</f>
        <v>00743051</v>
      </c>
      <c r="K1493" s="1" t="str">
        <f>"３９６　　　　　　　　　　　　　　　　　"</f>
        <v>３９６　　　　　　　　　　　　　　　　　</v>
      </c>
      <c r="L1493" s="1"/>
    </row>
    <row r="1494" spans="1:12" ht="18" customHeight="1" x14ac:dyDescent="0.15">
      <c r="A1494" s="11">
        <v>3317</v>
      </c>
      <c r="B1494" s="11" t="s">
        <v>54</v>
      </c>
      <c r="C1494" s="11" t="s">
        <v>183</v>
      </c>
      <c r="D1494" s="11">
        <v>1</v>
      </c>
      <c r="E1494" s="11" t="s">
        <v>4</v>
      </c>
      <c r="F1494" s="12">
        <v>32805</v>
      </c>
      <c r="G1494" s="12">
        <v>32805</v>
      </c>
      <c r="H1494" s="11" t="str">
        <f t="shared" si="50"/>
        <v>平成4年12月5日</v>
      </c>
      <c r="I1494" s="22">
        <f t="shared" si="51"/>
        <v>33943</v>
      </c>
      <c r="J1494" s="1" t="str">
        <f>"00743053"</f>
        <v>00743053</v>
      </c>
      <c r="K1494" s="1" t="str">
        <f>"３９７　　　　　　　　　　　　　　　　　"</f>
        <v>３９７　　　　　　　　　　　　　　　　　</v>
      </c>
      <c r="L1494" s="1"/>
    </row>
    <row r="1495" spans="1:12" ht="18" customHeight="1" x14ac:dyDescent="0.15">
      <c r="A1495" s="11">
        <v>3318</v>
      </c>
      <c r="B1495" s="11" t="s">
        <v>54</v>
      </c>
      <c r="C1495" s="11" t="s">
        <v>181</v>
      </c>
      <c r="D1495" s="11">
        <v>1</v>
      </c>
      <c r="E1495" s="11" t="s">
        <v>4</v>
      </c>
      <c r="F1495" s="12">
        <v>101970</v>
      </c>
      <c r="G1495" s="12">
        <v>101970</v>
      </c>
      <c r="H1495" s="11" t="str">
        <f t="shared" si="50"/>
        <v>平成4年12月5日</v>
      </c>
      <c r="I1495" s="22">
        <f t="shared" si="51"/>
        <v>33943</v>
      </c>
      <c r="J1495" s="1" t="str">
        <f>"00743055"</f>
        <v>00743055</v>
      </c>
      <c r="K1495" s="1" t="str">
        <f>"３９８　　　　　　　　　　　　　　　　　"</f>
        <v>３９８　　　　　　　　　　　　　　　　　</v>
      </c>
      <c r="L1495" s="1"/>
    </row>
    <row r="1496" spans="1:12" ht="18" customHeight="1" x14ac:dyDescent="0.15">
      <c r="A1496" s="11">
        <v>3601</v>
      </c>
      <c r="B1496" s="11" t="s">
        <v>30</v>
      </c>
      <c r="C1496" s="11" t="s">
        <v>190</v>
      </c>
      <c r="D1496" s="11">
        <v>1</v>
      </c>
      <c r="E1496" s="11" t="s">
        <v>4</v>
      </c>
      <c r="F1496" s="12">
        <v>44900</v>
      </c>
      <c r="G1496" s="12">
        <v>44900</v>
      </c>
      <c r="H1496" s="11" t="str">
        <f t="shared" si="50"/>
        <v>平成4年12月5日</v>
      </c>
      <c r="I1496" s="22">
        <f t="shared" si="51"/>
        <v>33943</v>
      </c>
      <c r="J1496" s="1" t="str">
        <f>"00743627"</f>
        <v>00743627</v>
      </c>
      <c r="K1496" s="1" t="str">
        <f>"３０３　　　　　　　　　　　　　　　　　"</f>
        <v>３０３　　　　　　　　　　　　　　　　　</v>
      </c>
      <c r="L1496" s="1"/>
    </row>
    <row r="1497" spans="1:12" ht="18" customHeight="1" x14ac:dyDescent="0.15">
      <c r="A1497" s="11">
        <v>3602</v>
      </c>
      <c r="B1497" s="11" t="s">
        <v>30</v>
      </c>
      <c r="C1497" s="11" t="s">
        <v>190</v>
      </c>
      <c r="D1497" s="11">
        <v>1</v>
      </c>
      <c r="E1497" s="11" t="s">
        <v>4</v>
      </c>
      <c r="F1497" s="12">
        <v>44900</v>
      </c>
      <c r="G1497" s="12">
        <v>44900</v>
      </c>
      <c r="H1497" s="11" t="str">
        <f t="shared" si="50"/>
        <v>平成4年12月5日</v>
      </c>
      <c r="I1497" s="22">
        <f t="shared" si="51"/>
        <v>33943</v>
      </c>
      <c r="J1497" s="1" t="str">
        <f>"00743629"</f>
        <v>00743629</v>
      </c>
      <c r="K1497" s="1" t="str">
        <f>"３０４　　　　　　　　　　　　　　　　　"</f>
        <v>３０４　　　　　　　　　　　　　　　　　</v>
      </c>
      <c r="L1497" s="1"/>
    </row>
    <row r="1498" spans="1:12" ht="18" customHeight="1" x14ac:dyDescent="0.15">
      <c r="A1498" s="11">
        <v>3603</v>
      </c>
      <c r="B1498" s="11" t="s">
        <v>30</v>
      </c>
      <c r="C1498" s="11" t="s">
        <v>190</v>
      </c>
      <c r="D1498" s="11">
        <v>1</v>
      </c>
      <c r="E1498" s="11" t="s">
        <v>4</v>
      </c>
      <c r="F1498" s="12">
        <v>44900</v>
      </c>
      <c r="G1498" s="12">
        <v>44900</v>
      </c>
      <c r="H1498" s="11" t="str">
        <f t="shared" si="50"/>
        <v>平成4年12月5日</v>
      </c>
      <c r="I1498" s="22">
        <f t="shared" si="51"/>
        <v>33943</v>
      </c>
      <c r="J1498" s="1" t="str">
        <f>"00743631"</f>
        <v>00743631</v>
      </c>
      <c r="K1498" s="1" t="str">
        <f>"３０５　　　　　　　　　　　　　　　　　"</f>
        <v>３０５　　　　　　　　　　　　　　　　　</v>
      </c>
      <c r="L1498" s="1"/>
    </row>
    <row r="1499" spans="1:12" ht="18" customHeight="1" x14ac:dyDescent="0.15">
      <c r="A1499" s="11">
        <v>3604</v>
      </c>
      <c r="B1499" s="11" t="s">
        <v>30</v>
      </c>
      <c r="C1499" s="11" t="s">
        <v>190</v>
      </c>
      <c r="D1499" s="11">
        <v>1</v>
      </c>
      <c r="E1499" s="11" t="s">
        <v>4</v>
      </c>
      <c r="F1499" s="12">
        <v>44900</v>
      </c>
      <c r="G1499" s="12">
        <v>44900</v>
      </c>
      <c r="H1499" s="11" t="str">
        <f t="shared" si="50"/>
        <v>平成4年12月5日</v>
      </c>
      <c r="I1499" s="22">
        <f t="shared" si="51"/>
        <v>33943</v>
      </c>
      <c r="J1499" s="1" t="str">
        <f>"00743633"</f>
        <v>00743633</v>
      </c>
      <c r="K1499" s="1" t="str">
        <f>"３０６　　　　　　　　　　　　　　　　　"</f>
        <v>３０６　　　　　　　　　　　　　　　　　</v>
      </c>
      <c r="L1499" s="1"/>
    </row>
    <row r="1500" spans="1:12" ht="18" customHeight="1" x14ac:dyDescent="0.15">
      <c r="A1500" s="11">
        <v>3605</v>
      </c>
      <c r="B1500" s="11" t="s">
        <v>30</v>
      </c>
      <c r="C1500" s="11" t="s">
        <v>190</v>
      </c>
      <c r="D1500" s="11">
        <v>1</v>
      </c>
      <c r="E1500" s="11" t="s">
        <v>4</v>
      </c>
      <c r="F1500" s="12">
        <v>44900</v>
      </c>
      <c r="G1500" s="12">
        <v>44900</v>
      </c>
      <c r="H1500" s="11" t="str">
        <f t="shared" si="50"/>
        <v>平成4年12月5日</v>
      </c>
      <c r="I1500" s="22">
        <f t="shared" si="51"/>
        <v>33943</v>
      </c>
      <c r="J1500" s="1" t="str">
        <f>"00743635"</f>
        <v>00743635</v>
      </c>
      <c r="K1500" s="1" t="str">
        <f>"３０７　　　　　　　　　　　　　　　　　"</f>
        <v>３０７　　　　　　　　　　　　　　　　　</v>
      </c>
      <c r="L1500" s="1"/>
    </row>
    <row r="1501" spans="1:12" ht="18" customHeight="1" x14ac:dyDescent="0.15">
      <c r="A1501" s="11">
        <v>3606</v>
      </c>
      <c r="B1501" s="11" t="s">
        <v>30</v>
      </c>
      <c r="C1501" s="11" t="s">
        <v>191</v>
      </c>
      <c r="D1501" s="11">
        <v>1</v>
      </c>
      <c r="E1501" s="11" t="s">
        <v>4</v>
      </c>
      <c r="F1501" s="12">
        <v>230300</v>
      </c>
      <c r="G1501" s="12">
        <v>230300</v>
      </c>
      <c r="H1501" s="11" t="str">
        <f t="shared" si="50"/>
        <v>平成4年12月5日</v>
      </c>
      <c r="I1501" s="22">
        <f t="shared" si="51"/>
        <v>33943</v>
      </c>
      <c r="J1501" s="1" t="str">
        <f>"00743637"</f>
        <v>00743637</v>
      </c>
      <c r="K1501" s="1" t="str">
        <f>"３０８　　　　　　　　　　　　　　　　　"</f>
        <v>３０８　　　　　　　　　　　　　　　　　</v>
      </c>
      <c r="L1501" s="1"/>
    </row>
    <row r="1502" spans="1:12" ht="18" customHeight="1" x14ac:dyDescent="0.15">
      <c r="A1502" s="11">
        <v>3607</v>
      </c>
      <c r="B1502" s="11" t="s">
        <v>30</v>
      </c>
      <c r="C1502" s="11" t="s">
        <v>191</v>
      </c>
      <c r="D1502" s="11">
        <v>1</v>
      </c>
      <c r="E1502" s="11" t="s">
        <v>4</v>
      </c>
      <c r="F1502" s="12">
        <v>230300</v>
      </c>
      <c r="G1502" s="12">
        <v>230300</v>
      </c>
      <c r="H1502" s="11" t="str">
        <f t="shared" si="50"/>
        <v>平成4年12月5日</v>
      </c>
      <c r="I1502" s="22">
        <f t="shared" si="51"/>
        <v>33943</v>
      </c>
      <c r="J1502" s="1" t="str">
        <f>"00743639"</f>
        <v>00743639</v>
      </c>
      <c r="K1502" s="1" t="str">
        <f>"３１５　　　　　　　　　　　　　　　　　"</f>
        <v>３１５　　　　　　　　　　　　　　　　　</v>
      </c>
      <c r="L1502" s="1"/>
    </row>
    <row r="1503" spans="1:12" ht="18" customHeight="1" x14ac:dyDescent="0.15">
      <c r="A1503" s="11">
        <v>3608</v>
      </c>
      <c r="B1503" s="11" t="s">
        <v>30</v>
      </c>
      <c r="C1503" s="11" t="s">
        <v>191</v>
      </c>
      <c r="D1503" s="11">
        <v>1</v>
      </c>
      <c r="E1503" s="11" t="s">
        <v>4</v>
      </c>
      <c r="F1503" s="12">
        <v>230300</v>
      </c>
      <c r="G1503" s="12">
        <v>230300</v>
      </c>
      <c r="H1503" s="11" t="str">
        <f t="shared" si="50"/>
        <v>平成4年12月5日</v>
      </c>
      <c r="I1503" s="22">
        <f t="shared" si="51"/>
        <v>33943</v>
      </c>
      <c r="J1503" s="1" t="str">
        <f>"00743641"</f>
        <v>00743641</v>
      </c>
      <c r="K1503" s="1" t="str">
        <f>"３１７　　　　　　　　　　　　　　　　　"</f>
        <v>３１７　　　　　　　　　　　　　　　　　</v>
      </c>
      <c r="L1503" s="1"/>
    </row>
    <row r="1504" spans="1:12" ht="18" customHeight="1" x14ac:dyDescent="0.15">
      <c r="A1504" s="11">
        <v>3609</v>
      </c>
      <c r="B1504" s="11" t="s">
        <v>30</v>
      </c>
      <c r="C1504" s="11" t="s">
        <v>192</v>
      </c>
      <c r="D1504" s="11">
        <v>1</v>
      </c>
      <c r="E1504" s="11" t="s">
        <v>4</v>
      </c>
      <c r="F1504" s="12">
        <v>963100</v>
      </c>
      <c r="G1504" s="12">
        <v>963100</v>
      </c>
      <c r="H1504" s="11" t="str">
        <f t="shared" si="50"/>
        <v>平成4年12月5日</v>
      </c>
      <c r="I1504" s="22">
        <f t="shared" si="51"/>
        <v>33943</v>
      </c>
      <c r="J1504" s="1" t="str">
        <f>"00743643"</f>
        <v>00743643</v>
      </c>
      <c r="K1504" s="1" t="str">
        <f>"３１８　　　　　　　　　　　　　　　　　"</f>
        <v>３１８　　　　　　　　　　　　　　　　　</v>
      </c>
      <c r="L1504" s="1"/>
    </row>
    <row r="1505" spans="1:12" ht="18" customHeight="1" x14ac:dyDescent="0.15">
      <c r="A1505" s="11">
        <v>3610</v>
      </c>
      <c r="B1505" s="11" t="s">
        <v>30</v>
      </c>
      <c r="C1505" s="11" t="s">
        <v>192</v>
      </c>
      <c r="D1505" s="11">
        <v>1</v>
      </c>
      <c r="E1505" s="11" t="s">
        <v>4</v>
      </c>
      <c r="F1505" s="12">
        <v>963100</v>
      </c>
      <c r="G1505" s="12">
        <v>963100</v>
      </c>
      <c r="H1505" s="11" t="str">
        <f t="shared" si="50"/>
        <v>平成4年12月5日</v>
      </c>
      <c r="I1505" s="22">
        <f t="shared" si="51"/>
        <v>33943</v>
      </c>
      <c r="J1505" s="1" t="str">
        <f>"00743645"</f>
        <v>00743645</v>
      </c>
      <c r="K1505" s="1" t="str">
        <f>"３１９　　　　　　　　　　　　　　　　　"</f>
        <v>３１９　　　　　　　　　　　　　　　　　</v>
      </c>
      <c r="L1505" s="1"/>
    </row>
    <row r="1506" spans="1:12" ht="18" customHeight="1" x14ac:dyDescent="0.15">
      <c r="A1506" s="11">
        <v>3611</v>
      </c>
      <c r="B1506" s="11" t="s">
        <v>30</v>
      </c>
      <c r="C1506" s="11" t="s">
        <v>192</v>
      </c>
      <c r="D1506" s="11">
        <v>1</v>
      </c>
      <c r="E1506" s="11" t="s">
        <v>4</v>
      </c>
      <c r="F1506" s="12">
        <v>963100</v>
      </c>
      <c r="G1506" s="12">
        <v>963100</v>
      </c>
      <c r="H1506" s="11" t="str">
        <f t="shared" si="50"/>
        <v>平成4年12月5日</v>
      </c>
      <c r="I1506" s="22">
        <f t="shared" si="51"/>
        <v>33943</v>
      </c>
      <c r="J1506" s="1" t="str">
        <f>"00743647"</f>
        <v>00743647</v>
      </c>
      <c r="K1506" s="1" t="str">
        <f>"３２０　　　　　　　　　　　　　　　　　"</f>
        <v>３２０　　　　　　　　　　　　　　　　　</v>
      </c>
      <c r="L1506" s="1"/>
    </row>
    <row r="1507" spans="1:12" ht="18" customHeight="1" x14ac:dyDescent="0.15">
      <c r="A1507" s="11">
        <v>3612</v>
      </c>
      <c r="B1507" s="11" t="s">
        <v>30</v>
      </c>
      <c r="C1507" s="11" t="s">
        <v>192</v>
      </c>
      <c r="D1507" s="11">
        <v>1</v>
      </c>
      <c r="E1507" s="11" t="s">
        <v>4</v>
      </c>
      <c r="F1507" s="12">
        <v>963100</v>
      </c>
      <c r="G1507" s="12">
        <v>963100</v>
      </c>
      <c r="H1507" s="11" t="str">
        <f t="shared" si="50"/>
        <v>平成4年12月5日</v>
      </c>
      <c r="I1507" s="22">
        <f t="shared" si="51"/>
        <v>33943</v>
      </c>
      <c r="J1507" s="1" t="str">
        <f>"00743649"</f>
        <v>00743649</v>
      </c>
      <c r="K1507" s="1" t="str">
        <f>"３２１　　　　　　　　　　　　　　　　　"</f>
        <v>３２１　　　　　　　　　　　　　　　　　</v>
      </c>
      <c r="L1507" s="1"/>
    </row>
    <row r="1508" spans="1:12" ht="18" customHeight="1" x14ac:dyDescent="0.15">
      <c r="A1508" s="11">
        <v>3613</v>
      </c>
      <c r="B1508" s="11" t="s">
        <v>30</v>
      </c>
      <c r="C1508" s="11" t="s">
        <v>192</v>
      </c>
      <c r="D1508" s="11">
        <v>1</v>
      </c>
      <c r="E1508" s="11" t="s">
        <v>4</v>
      </c>
      <c r="F1508" s="12">
        <v>963100</v>
      </c>
      <c r="G1508" s="12">
        <v>963100</v>
      </c>
      <c r="H1508" s="11" t="str">
        <f t="shared" si="50"/>
        <v>平成4年12月5日</v>
      </c>
      <c r="I1508" s="22">
        <f t="shared" si="51"/>
        <v>33943</v>
      </c>
      <c r="J1508" s="1" t="str">
        <f>"00743651"</f>
        <v>00743651</v>
      </c>
      <c r="K1508" s="1" t="str">
        <f>"３２２　　　　　　　　　　　　　　　　　"</f>
        <v>３２２　　　　　　　　　　　　　　　　　</v>
      </c>
      <c r="L1508" s="1"/>
    </row>
    <row r="1509" spans="1:12" ht="18" customHeight="1" x14ac:dyDescent="0.15">
      <c r="A1509" s="11">
        <v>3614</v>
      </c>
      <c r="B1509" s="11" t="s">
        <v>30</v>
      </c>
      <c r="C1509" s="11" t="s">
        <v>192</v>
      </c>
      <c r="D1509" s="11">
        <v>1</v>
      </c>
      <c r="E1509" s="11" t="s">
        <v>4</v>
      </c>
      <c r="F1509" s="12">
        <v>963100</v>
      </c>
      <c r="G1509" s="12">
        <v>963100</v>
      </c>
      <c r="H1509" s="11" t="str">
        <f t="shared" si="50"/>
        <v>平成4年12月5日</v>
      </c>
      <c r="I1509" s="22">
        <f t="shared" si="51"/>
        <v>33943</v>
      </c>
      <c r="J1509" s="1" t="str">
        <f>"00743653"</f>
        <v>00743653</v>
      </c>
      <c r="K1509" s="1" t="str">
        <f>"３２３　　　　　　　　　　　　　　　　　"</f>
        <v>３２３　　　　　　　　　　　　　　　　　</v>
      </c>
      <c r="L1509" s="1"/>
    </row>
    <row r="1510" spans="1:12" ht="18" customHeight="1" x14ac:dyDescent="0.15">
      <c r="A1510" s="11">
        <v>3615</v>
      </c>
      <c r="B1510" s="11" t="s">
        <v>30</v>
      </c>
      <c r="C1510" s="11" t="s">
        <v>192</v>
      </c>
      <c r="D1510" s="11">
        <v>1</v>
      </c>
      <c r="E1510" s="11" t="s">
        <v>4</v>
      </c>
      <c r="F1510" s="12">
        <v>963100</v>
      </c>
      <c r="G1510" s="12">
        <v>963100</v>
      </c>
      <c r="H1510" s="11" t="str">
        <f t="shared" si="50"/>
        <v>平成4年12月5日</v>
      </c>
      <c r="I1510" s="22">
        <f t="shared" si="51"/>
        <v>33943</v>
      </c>
      <c r="J1510" s="1" t="str">
        <f>"00743655"</f>
        <v>00743655</v>
      </c>
      <c r="K1510" s="1" t="str">
        <f>"３２４　　　　　　　　　　　　　　　　　"</f>
        <v>３２４　　　　　　　　　　　　　　　　　</v>
      </c>
      <c r="L1510" s="1"/>
    </row>
    <row r="1511" spans="1:12" ht="18" customHeight="1" x14ac:dyDescent="0.15">
      <c r="A1511" s="11">
        <v>3616</v>
      </c>
      <c r="B1511" s="11" t="s">
        <v>30</v>
      </c>
      <c r="C1511" s="11" t="s">
        <v>192</v>
      </c>
      <c r="D1511" s="11">
        <v>1</v>
      </c>
      <c r="E1511" s="11" t="s">
        <v>4</v>
      </c>
      <c r="F1511" s="12">
        <v>963100</v>
      </c>
      <c r="G1511" s="12">
        <v>963100</v>
      </c>
      <c r="H1511" s="11" t="str">
        <f t="shared" si="50"/>
        <v>平成4年12月5日</v>
      </c>
      <c r="I1511" s="22">
        <f t="shared" si="51"/>
        <v>33943</v>
      </c>
      <c r="J1511" s="1" t="str">
        <f>"00743657"</f>
        <v>00743657</v>
      </c>
      <c r="K1511" s="1" t="str">
        <f>"３２５　　　　　　　　　　　　　　　　　"</f>
        <v>３２５　　　　　　　　　　　　　　　　　</v>
      </c>
      <c r="L1511" s="1"/>
    </row>
    <row r="1512" spans="1:12" ht="18" customHeight="1" x14ac:dyDescent="0.15">
      <c r="A1512" s="11">
        <v>3617</v>
      </c>
      <c r="B1512" s="11" t="s">
        <v>30</v>
      </c>
      <c r="C1512" s="11" t="s">
        <v>192</v>
      </c>
      <c r="D1512" s="11">
        <v>1</v>
      </c>
      <c r="E1512" s="11" t="s">
        <v>4</v>
      </c>
      <c r="F1512" s="12">
        <v>963100</v>
      </c>
      <c r="G1512" s="12">
        <v>963100</v>
      </c>
      <c r="H1512" s="11" t="str">
        <f t="shared" si="50"/>
        <v>平成4年12月5日</v>
      </c>
      <c r="I1512" s="22">
        <f t="shared" si="51"/>
        <v>33943</v>
      </c>
      <c r="J1512" s="1" t="str">
        <f>"00743659"</f>
        <v>00743659</v>
      </c>
      <c r="K1512" s="1" t="str">
        <f>"３２６　　　　　　　　　　　　　　　　　"</f>
        <v>３２６　　　　　　　　　　　　　　　　　</v>
      </c>
      <c r="L1512" s="1"/>
    </row>
    <row r="1513" spans="1:12" ht="18" customHeight="1" x14ac:dyDescent="0.15">
      <c r="A1513" s="11">
        <v>3618</v>
      </c>
      <c r="B1513" s="11" t="s">
        <v>30</v>
      </c>
      <c r="C1513" s="11" t="s">
        <v>192</v>
      </c>
      <c r="D1513" s="11">
        <v>1</v>
      </c>
      <c r="E1513" s="11" t="s">
        <v>4</v>
      </c>
      <c r="F1513" s="12">
        <v>963100</v>
      </c>
      <c r="G1513" s="12">
        <v>963100</v>
      </c>
      <c r="H1513" s="11" t="str">
        <f t="shared" si="50"/>
        <v>平成4年12月5日</v>
      </c>
      <c r="I1513" s="22">
        <f t="shared" si="51"/>
        <v>33943</v>
      </c>
      <c r="J1513" s="1" t="str">
        <f>"00743661"</f>
        <v>00743661</v>
      </c>
      <c r="K1513" s="1" t="str">
        <f>"３２７　　　　　　　　　　　　　　　　　"</f>
        <v>３２７　　　　　　　　　　　　　　　　　</v>
      </c>
      <c r="L1513" s="1"/>
    </row>
    <row r="1514" spans="1:12" ht="18" customHeight="1" x14ac:dyDescent="0.15">
      <c r="A1514" s="11">
        <v>3619</v>
      </c>
      <c r="B1514" s="11" t="s">
        <v>30</v>
      </c>
      <c r="C1514" s="11" t="s">
        <v>192</v>
      </c>
      <c r="D1514" s="11">
        <v>1</v>
      </c>
      <c r="E1514" s="11" t="s">
        <v>4</v>
      </c>
      <c r="F1514" s="12">
        <v>963100</v>
      </c>
      <c r="G1514" s="12">
        <v>963100</v>
      </c>
      <c r="H1514" s="11" t="str">
        <f t="shared" si="50"/>
        <v>平成4年12月5日</v>
      </c>
      <c r="I1514" s="22">
        <f t="shared" si="51"/>
        <v>33943</v>
      </c>
      <c r="J1514" s="1" t="str">
        <f>"00743663"</f>
        <v>00743663</v>
      </c>
      <c r="K1514" s="1" t="str">
        <f>"３２８　　　　　　　　　　　　　　　　　"</f>
        <v>３２８　　　　　　　　　　　　　　　　　</v>
      </c>
      <c r="L1514" s="1"/>
    </row>
    <row r="1515" spans="1:12" ht="18" customHeight="1" x14ac:dyDescent="0.15">
      <c r="A1515" s="11">
        <v>3620</v>
      </c>
      <c r="B1515" s="11" t="s">
        <v>30</v>
      </c>
      <c r="C1515" s="11" t="s">
        <v>192</v>
      </c>
      <c r="D1515" s="11">
        <v>1</v>
      </c>
      <c r="E1515" s="11" t="s">
        <v>4</v>
      </c>
      <c r="F1515" s="12">
        <v>963100</v>
      </c>
      <c r="G1515" s="12">
        <v>963100</v>
      </c>
      <c r="H1515" s="11" t="str">
        <f t="shared" si="50"/>
        <v>平成4年12月5日</v>
      </c>
      <c r="I1515" s="22">
        <f t="shared" si="51"/>
        <v>33943</v>
      </c>
      <c r="J1515" s="1" t="str">
        <f>"00743665"</f>
        <v>00743665</v>
      </c>
      <c r="K1515" s="1" t="str">
        <f>"３２９　　　　　　　　　　　　　　　　　"</f>
        <v>３２９　　　　　　　　　　　　　　　　　</v>
      </c>
      <c r="L1515" s="1"/>
    </row>
    <row r="1516" spans="1:12" ht="18" customHeight="1" x14ac:dyDescent="0.15">
      <c r="A1516" s="11">
        <v>3621</v>
      </c>
      <c r="B1516" s="11" t="s">
        <v>30</v>
      </c>
      <c r="C1516" s="11" t="s">
        <v>192</v>
      </c>
      <c r="D1516" s="11">
        <v>1</v>
      </c>
      <c r="E1516" s="11" t="s">
        <v>4</v>
      </c>
      <c r="F1516" s="12">
        <v>963100</v>
      </c>
      <c r="G1516" s="12">
        <v>963100</v>
      </c>
      <c r="H1516" s="11" t="str">
        <f t="shared" si="50"/>
        <v>平成4年12月5日</v>
      </c>
      <c r="I1516" s="22">
        <f t="shared" si="51"/>
        <v>33943</v>
      </c>
      <c r="J1516" s="1" t="str">
        <f>"00743667"</f>
        <v>00743667</v>
      </c>
      <c r="K1516" s="1" t="str">
        <f>"３３０　　　　　　　　　　　　　　　　　"</f>
        <v>３３０　　　　　　　　　　　　　　　　　</v>
      </c>
      <c r="L1516" s="1"/>
    </row>
    <row r="1517" spans="1:12" ht="18" customHeight="1" x14ac:dyDescent="0.15">
      <c r="A1517" s="11">
        <v>3622</v>
      </c>
      <c r="B1517" s="11" t="s">
        <v>30</v>
      </c>
      <c r="C1517" s="11" t="s">
        <v>192</v>
      </c>
      <c r="D1517" s="11">
        <v>1</v>
      </c>
      <c r="E1517" s="11" t="s">
        <v>4</v>
      </c>
      <c r="F1517" s="12">
        <v>963100</v>
      </c>
      <c r="G1517" s="12">
        <v>963100</v>
      </c>
      <c r="H1517" s="11" t="str">
        <f t="shared" si="50"/>
        <v>平成4年12月5日</v>
      </c>
      <c r="I1517" s="22">
        <f t="shared" si="51"/>
        <v>33943</v>
      </c>
      <c r="J1517" s="1" t="str">
        <f>"00743669"</f>
        <v>00743669</v>
      </c>
      <c r="K1517" s="1" t="str">
        <f>"３３１　　　　　　　　　　　　　　　　　"</f>
        <v>３３１　　　　　　　　　　　　　　　　　</v>
      </c>
      <c r="L1517" s="1"/>
    </row>
    <row r="1518" spans="1:12" ht="18" customHeight="1" x14ac:dyDescent="0.15">
      <c r="A1518" s="11">
        <v>3623</v>
      </c>
      <c r="B1518" s="11" t="s">
        <v>30</v>
      </c>
      <c r="C1518" s="11" t="s">
        <v>192</v>
      </c>
      <c r="D1518" s="11">
        <v>1</v>
      </c>
      <c r="E1518" s="11" t="s">
        <v>4</v>
      </c>
      <c r="F1518" s="12">
        <v>963100</v>
      </c>
      <c r="G1518" s="12">
        <v>963100</v>
      </c>
      <c r="H1518" s="11" t="str">
        <f t="shared" ref="H1518:H1581" si="52">"平成4年12月5日"</f>
        <v>平成4年12月5日</v>
      </c>
      <c r="I1518" s="22">
        <f t="shared" si="51"/>
        <v>33943</v>
      </c>
      <c r="J1518" s="1" t="str">
        <f>"00743671"</f>
        <v>00743671</v>
      </c>
      <c r="K1518" s="1" t="str">
        <f>"３３２　　　　　　　　　　　　　　　　　"</f>
        <v>３３２　　　　　　　　　　　　　　　　　</v>
      </c>
      <c r="L1518" s="1"/>
    </row>
    <row r="1519" spans="1:12" ht="18" customHeight="1" x14ac:dyDescent="0.15">
      <c r="A1519" s="11">
        <v>3624</v>
      </c>
      <c r="B1519" s="11" t="s">
        <v>30</v>
      </c>
      <c r="C1519" s="11" t="s">
        <v>192</v>
      </c>
      <c r="D1519" s="11">
        <v>1</v>
      </c>
      <c r="E1519" s="11" t="s">
        <v>4</v>
      </c>
      <c r="F1519" s="12">
        <v>963100</v>
      </c>
      <c r="G1519" s="12">
        <v>963100</v>
      </c>
      <c r="H1519" s="11" t="str">
        <f t="shared" si="52"/>
        <v>平成4年12月5日</v>
      </c>
      <c r="I1519" s="22">
        <f t="shared" si="51"/>
        <v>33943</v>
      </c>
      <c r="J1519" s="1" t="str">
        <f>"00743673"</f>
        <v>00743673</v>
      </c>
      <c r="K1519" s="1" t="str">
        <f>"３３３　　　　　　　　　　　　　　　　　"</f>
        <v>３３３　　　　　　　　　　　　　　　　　</v>
      </c>
      <c r="L1519" s="1"/>
    </row>
    <row r="1520" spans="1:12" ht="18" customHeight="1" x14ac:dyDescent="0.15">
      <c r="A1520" s="11">
        <v>3625</v>
      </c>
      <c r="B1520" s="11" t="s">
        <v>30</v>
      </c>
      <c r="C1520" s="11" t="s">
        <v>192</v>
      </c>
      <c r="D1520" s="11">
        <v>1</v>
      </c>
      <c r="E1520" s="11" t="s">
        <v>4</v>
      </c>
      <c r="F1520" s="12">
        <v>834300</v>
      </c>
      <c r="G1520" s="12">
        <v>834300</v>
      </c>
      <c r="H1520" s="11" t="str">
        <f t="shared" si="52"/>
        <v>平成4年12月5日</v>
      </c>
      <c r="I1520" s="22">
        <f t="shared" si="51"/>
        <v>33943</v>
      </c>
      <c r="J1520" s="1" t="str">
        <f>"00743675"</f>
        <v>00743675</v>
      </c>
      <c r="K1520" s="1" t="str">
        <f>"３３４　　　　　　　　　　　　　　　　　"</f>
        <v>３３４　　　　　　　　　　　　　　　　　</v>
      </c>
      <c r="L1520" s="1"/>
    </row>
    <row r="1521" spans="1:12" ht="18" customHeight="1" x14ac:dyDescent="0.15">
      <c r="A1521" s="11">
        <v>3626</v>
      </c>
      <c r="B1521" s="11" t="s">
        <v>30</v>
      </c>
      <c r="C1521" s="11" t="s">
        <v>192</v>
      </c>
      <c r="D1521" s="11">
        <v>1</v>
      </c>
      <c r="E1521" s="11" t="s">
        <v>4</v>
      </c>
      <c r="F1521" s="12">
        <v>834300</v>
      </c>
      <c r="G1521" s="12">
        <v>834300</v>
      </c>
      <c r="H1521" s="11" t="str">
        <f t="shared" si="52"/>
        <v>平成4年12月5日</v>
      </c>
      <c r="I1521" s="22">
        <f t="shared" si="51"/>
        <v>33943</v>
      </c>
      <c r="J1521" s="1" t="str">
        <f>"00743677"</f>
        <v>00743677</v>
      </c>
      <c r="K1521" s="1" t="str">
        <f>"３３５　　　　　　　　　　　　　　　　　"</f>
        <v>３３５　　　　　　　　　　　　　　　　　</v>
      </c>
      <c r="L1521" s="1"/>
    </row>
    <row r="1522" spans="1:12" ht="18" customHeight="1" x14ac:dyDescent="0.15">
      <c r="A1522" s="11">
        <v>3627</v>
      </c>
      <c r="B1522" s="11" t="s">
        <v>30</v>
      </c>
      <c r="C1522" s="11" t="s">
        <v>192</v>
      </c>
      <c r="D1522" s="11">
        <v>1</v>
      </c>
      <c r="E1522" s="11" t="s">
        <v>4</v>
      </c>
      <c r="F1522" s="12">
        <v>834300</v>
      </c>
      <c r="G1522" s="12">
        <v>834300</v>
      </c>
      <c r="H1522" s="11" t="str">
        <f t="shared" si="52"/>
        <v>平成4年12月5日</v>
      </c>
      <c r="I1522" s="22">
        <f t="shared" si="51"/>
        <v>33943</v>
      </c>
      <c r="J1522" s="1" t="str">
        <f>"00743679"</f>
        <v>00743679</v>
      </c>
      <c r="K1522" s="1" t="str">
        <f>"３３６　　　　　　　　　　　　　　　　　"</f>
        <v>３３６　　　　　　　　　　　　　　　　　</v>
      </c>
      <c r="L1522" s="1"/>
    </row>
    <row r="1523" spans="1:12" ht="18" customHeight="1" x14ac:dyDescent="0.15">
      <c r="A1523" s="11">
        <v>3628</v>
      </c>
      <c r="B1523" s="11" t="s">
        <v>30</v>
      </c>
      <c r="C1523" s="11" t="s">
        <v>192</v>
      </c>
      <c r="D1523" s="11">
        <v>1</v>
      </c>
      <c r="E1523" s="11" t="s">
        <v>4</v>
      </c>
      <c r="F1523" s="12">
        <v>834300</v>
      </c>
      <c r="G1523" s="12">
        <v>834300</v>
      </c>
      <c r="H1523" s="11" t="str">
        <f t="shared" si="52"/>
        <v>平成4年12月5日</v>
      </c>
      <c r="I1523" s="22">
        <f t="shared" si="51"/>
        <v>33943</v>
      </c>
      <c r="J1523" s="1" t="str">
        <f>"00743681"</f>
        <v>00743681</v>
      </c>
      <c r="K1523" s="1" t="str">
        <f>"３３７　　　　　　　　　　　　　　　　　"</f>
        <v>３３７　　　　　　　　　　　　　　　　　</v>
      </c>
      <c r="L1523" s="1"/>
    </row>
    <row r="1524" spans="1:12" ht="18" customHeight="1" x14ac:dyDescent="0.15">
      <c r="A1524" s="11">
        <v>3629</v>
      </c>
      <c r="B1524" s="11" t="s">
        <v>30</v>
      </c>
      <c r="C1524" s="11" t="s">
        <v>192</v>
      </c>
      <c r="D1524" s="11">
        <v>1</v>
      </c>
      <c r="E1524" s="11" t="s">
        <v>4</v>
      </c>
      <c r="F1524" s="12">
        <v>834300</v>
      </c>
      <c r="G1524" s="12">
        <v>834300</v>
      </c>
      <c r="H1524" s="11" t="str">
        <f t="shared" si="52"/>
        <v>平成4年12月5日</v>
      </c>
      <c r="I1524" s="22">
        <f t="shared" si="51"/>
        <v>33943</v>
      </c>
      <c r="J1524" s="1" t="str">
        <f>"00743683"</f>
        <v>00743683</v>
      </c>
      <c r="K1524" s="1" t="str">
        <f>"３３８　　　　　　　　　　　　　　　　　"</f>
        <v>３３８　　　　　　　　　　　　　　　　　</v>
      </c>
      <c r="L1524" s="1"/>
    </row>
    <row r="1525" spans="1:12" ht="18" customHeight="1" x14ac:dyDescent="0.15">
      <c r="A1525" s="11">
        <v>3630</v>
      </c>
      <c r="B1525" s="11" t="s">
        <v>30</v>
      </c>
      <c r="C1525" s="11" t="s">
        <v>192</v>
      </c>
      <c r="D1525" s="11">
        <v>1</v>
      </c>
      <c r="E1525" s="11" t="s">
        <v>4</v>
      </c>
      <c r="F1525" s="12">
        <v>834300</v>
      </c>
      <c r="G1525" s="12">
        <v>834300</v>
      </c>
      <c r="H1525" s="11" t="str">
        <f t="shared" si="52"/>
        <v>平成4年12月5日</v>
      </c>
      <c r="I1525" s="22">
        <f t="shared" si="51"/>
        <v>33943</v>
      </c>
      <c r="J1525" s="1" t="str">
        <f>"00743685"</f>
        <v>00743685</v>
      </c>
      <c r="K1525" s="1" t="str">
        <f>"３３９　　　　　　　　　　　　　　　　　"</f>
        <v>３３９　　　　　　　　　　　　　　　　　</v>
      </c>
      <c r="L1525" s="1"/>
    </row>
    <row r="1526" spans="1:12" ht="18" customHeight="1" x14ac:dyDescent="0.15">
      <c r="A1526" s="11">
        <v>3631</v>
      </c>
      <c r="B1526" s="11" t="s">
        <v>30</v>
      </c>
      <c r="C1526" s="11" t="s">
        <v>192</v>
      </c>
      <c r="D1526" s="11">
        <v>1</v>
      </c>
      <c r="E1526" s="11" t="s">
        <v>4</v>
      </c>
      <c r="F1526" s="12">
        <v>834300</v>
      </c>
      <c r="G1526" s="12">
        <v>834300</v>
      </c>
      <c r="H1526" s="11" t="str">
        <f t="shared" si="52"/>
        <v>平成4年12月5日</v>
      </c>
      <c r="I1526" s="22">
        <f t="shared" si="51"/>
        <v>33943</v>
      </c>
      <c r="J1526" s="1" t="str">
        <f>"00743687"</f>
        <v>00743687</v>
      </c>
      <c r="K1526" s="1" t="str">
        <f>"３４０　　　　　　　　　　　　　　　　　"</f>
        <v>３４０　　　　　　　　　　　　　　　　　</v>
      </c>
      <c r="L1526" s="1"/>
    </row>
    <row r="1527" spans="1:12" ht="18" customHeight="1" x14ac:dyDescent="0.15">
      <c r="A1527" s="11">
        <v>3632</v>
      </c>
      <c r="B1527" s="11" t="s">
        <v>30</v>
      </c>
      <c r="C1527" s="11" t="s">
        <v>192</v>
      </c>
      <c r="D1527" s="11">
        <v>1</v>
      </c>
      <c r="E1527" s="11" t="s">
        <v>4</v>
      </c>
      <c r="F1527" s="12">
        <v>963100</v>
      </c>
      <c r="G1527" s="12">
        <v>963100</v>
      </c>
      <c r="H1527" s="11" t="str">
        <f t="shared" si="52"/>
        <v>平成4年12月5日</v>
      </c>
      <c r="I1527" s="22">
        <f t="shared" si="51"/>
        <v>33943</v>
      </c>
      <c r="J1527" s="1" t="str">
        <f>"00743689"</f>
        <v>00743689</v>
      </c>
      <c r="K1527" s="1" t="str">
        <f>"３４１　　　　　　　　　　　　　　　　　"</f>
        <v>３４１　　　　　　　　　　　　　　　　　</v>
      </c>
      <c r="L1527" s="1"/>
    </row>
    <row r="1528" spans="1:12" ht="18" customHeight="1" x14ac:dyDescent="0.15">
      <c r="A1528" s="11">
        <v>3633</v>
      </c>
      <c r="B1528" s="11" t="s">
        <v>30</v>
      </c>
      <c r="C1528" s="11" t="s">
        <v>192</v>
      </c>
      <c r="D1528" s="11">
        <v>1</v>
      </c>
      <c r="E1528" s="11" t="s">
        <v>4</v>
      </c>
      <c r="F1528" s="12">
        <v>963100</v>
      </c>
      <c r="G1528" s="12">
        <v>963100</v>
      </c>
      <c r="H1528" s="11" t="str">
        <f t="shared" si="52"/>
        <v>平成4年12月5日</v>
      </c>
      <c r="I1528" s="22">
        <f t="shared" si="51"/>
        <v>33943</v>
      </c>
      <c r="J1528" s="1" t="str">
        <f>"00743691"</f>
        <v>00743691</v>
      </c>
      <c r="K1528" s="1" t="str">
        <f>"３４２　　　　　　　　　　　　　　　　　"</f>
        <v>３４２　　　　　　　　　　　　　　　　　</v>
      </c>
      <c r="L1528" s="1"/>
    </row>
    <row r="1529" spans="1:12" ht="18" customHeight="1" x14ac:dyDescent="0.15">
      <c r="A1529" s="11">
        <v>3634</v>
      </c>
      <c r="B1529" s="11" t="s">
        <v>30</v>
      </c>
      <c r="C1529" s="11" t="s">
        <v>192</v>
      </c>
      <c r="D1529" s="11">
        <v>1</v>
      </c>
      <c r="E1529" s="11" t="s">
        <v>4</v>
      </c>
      <c r="F1529" s="12">
        <v>963100</v>
      </c>
      <c r="G1529" s="12">
        <v>963100</v>
      </c>
      <c r="H1529" s="11" t="str">
        <f t="shared" si="52"/>
        <v>平成4年12月5日</v>
      </c>
      <c r="I1529" s="22">
        <f t="shared" si="51"/>
        <v>33943</v>
      </c>
      <c r="J1529" s="1" t="str">
        <f>"00743693"</f>
        <v>00743693</v>
      </c>
      <c r="K1529" s="1" t="str">
        <f>"３４３　　　　　　　　　　　　　　　　　"</f>
        <v>３４３　　　　　　　　　　　　　　　　　</v>
      </c>
      <c r="L1529" s="1"/>
    </row>
    <row r="1530" spans="1:12" ht="18" customHeight="1" x14ac:dyDescent="0.15">
      <c r="A1530" s="11">
        <v>3635</v>
      </c>
      <c r="B1530" s="11" t="s">
        <v>30</v>
      </c>
      <c r="C1530" s="11" t="s">
        <v>192</v>
      </c>
      <c r="D1530" s="11">
        <v>1</v>
      </c>
      <c r="E1530" s="11" t="s">
        <v>4</v>
      </c>
      <c r="F1530" s="12">
        <v>963100</v>
      </c>
      <c r="G1530" s="12">
        <v>963100</v>
      </c>
      <c r="H1530" s="11" t="str">
        <f t="shared" si="52"/>
        <v>平成4年12月5日</v>
      </c>
      <c r="I1530" s="22">
        <f t="shared" si="51"/>
        <v>33943</v>
      </c>
      <c r="J1530" s="1" t="str">
        <f>"00743695"</f>
        <v>00743695</v>
      </c>
      <c r="K1530" s="1" t="str">
        <f>"３４４　　　　　　　　　　　　　　　　　"</f>
        <v>３４４　　　　　　　　　　　　　　　　　</v>
      </c>
      <c r="L1530" s="1"/>
    </row>
    <row r="1531" spans="1:12" ht="18" customHeight="1" x14ac:dyDescent="0.15">
      <c r="A1531" s="11">
        <v>3636</v>
      </c>
      <c r="B1531" s="11" t="s">
        <v>30</v>
      </c>
      <c r="C1531" s="11" t="s">
        <v>192</v>
      </c>
      <c r="D1531" s="11">
        <v>1</v>
      </c>
      <c r="E1531" s="11" t="s">
        <v>4</v>
      </c>
      <c r="F1531" s="12">
        <v>963100</v>
      </c>
      <c r="G1531" s="12">
        <v>963100</v>
      </c>
      <c r="H1531" s="11" t="str">
        <f t="shared" si="52"/>
        <v>平成4年12月5日</v>
      </c>
      <c r="I1531" s="22">
        <f t="shared" si="51"/>
        <v>33943</v>
      </c>
      <c r="J1531" s="1" t="str">
        <f>"00743697"</f>
        <v>00743697</v>
      </c>
      <c r="K1531" s="1" t="str">
        <f>"３４５　　　　　　　　　　　　　　　　　"</f>
        <v>３４５　　　　　　　　　　　　　　　　　</v>
      </c>
      <c r="L1531" s="1"/>
    </row>
    <row r="1532" spans="1:12" ht="18" customHeight="1" x14ac:dyDescent="0.15">
      <c r="A1532" s="11">
        <v>3637</v>
      </c>
      <c r="B1532" s="11" t="s">
        <v>30</v>
      </c>
      <c r="C1532" s="11" t="s">
        <v>192</v>
      </c>
      <c r="D1532" s="11">
        <v>1</v>
      </c>
      <c r="E1532" s="11" t="s">
        <v>4</v>
      </c>
      <c r="F1532" s="12">
        <v>834300</v>
      </c>
      <c r="G1532" s="12">
        <v>834300</v>
      </c>
      <c r="H1532" s="11" t="str">
        <f t="shared" si="52"/>
        <v>平成4年12月5日</v>
      </c>
      <c r="I1532" s="22">
        <f t="shared" si="51"/>
        <v>33943</v>
      </c>
      <c r="J1532" s="1" t="str">
        <f>"00743699"</f>
        <v>00743699</v>
      </c>
      <c r="K1532" s="1" t="str">
        <f>"３４６　　　　　　　　　　　　　　　　　"</f>
        <v>３４６　　　　　　　　　　　　　　　　　</v>
      </c>
      <c r="L1532" s="1"/>
    </row>
    <row r="1533" spans="1:12" ht="18" customHeight="1" x14ac:dyDescent="0.15">
      <c r="A1533" s="11">
        <v>3638</v>
      </c>
      <c r="B1533" s="11" t="s">
        <v>30</v>
      </c>
      <c r="C1533" s="11" t="s">
        <v>192</v>
      </c>
      <c r="D1533" s="11">
        <v>1</v>
      </c>
      <c r="E1533" s="11" t="s">
        <v>4</v>
      </c>
      <c r="F1533" s="12">
        <v>834300</v>
      </c>
      <c r="G1533" s="12">
        <v>834300</v>
      </c>
      <c r="H1533" s="11" t="str">
        <f t="shared" si="52"/>
        <v>平成4年12月5日</v>
      </c>
      <c r="I1533" s="22">
        <f t="shared" si="51"/>
        <v>33943</v>
      </c>
      <c r="J1533" s="1" t="str">
        <f>"00743701"</f>
        <v>00743701</v>
      </c>
      <c r="K1533" s="1" t="str">
        <f>"３４７　　　　　　　　　　　　　　　　　"</f>
        <v>３４７　　　　　　　　　　　　　　　　　</v>
      </c>
      <c r="L1533" s="1"/>
    </row>
    <row r="1534" spans="1:12" ht="18" customHeight="1" x14ac:dyDescent="0.15">
      <c r="A1534" s="11">
        <v>3639</v>
      </c>
      <c r="B1534" s="11" t="s">
        <v>30</v>
      </c>
      <c r="C1534" s="11" t="s">
        <v>192</v>
      </c>
      <c r="D1534" s="11">
        <v>1</v>
      </c>
      <c r="E1534" s="11" t="s">
        <v>4</v>
      </c>
      <c r="F1534" s="12">
        <v>834300</v>
      </c>
      <c r="G1534" s="12">
        <v>834300</v>
      </c>
      <c r="H1534" s="11" t="str">
        <f t="shared" si="52"/>
        <v>平成4年12月5日</v>
      </c>
      <c r="I1534" s="22">
        <f t="shared" si="51"/>
        <v>33943</v>
      </c>
      <c r="J1534" s="1" t="str">
        <f>"00743703"</f>
        <v>00743703</v>
      </c>
      <c r="K1534" s="1" t="str">
        <f>"３４８　　　　　　　　　　　　　　　　　"</f>
        <v>３４８　　　　　　　　　　　　　　　　　</v>
      </c>
      <c r="L1534" s="1"/>
    </row>
    <row r="1535" spans="1:12" ht="18" customHeight="1" x14ac:dyDescent="0.15">
      <c r="A1535" s="11">
        <v>3640</v>
      </c>
      <c r="B1535" s="11" t="s">
        <v>30</v>
      </c>
      <c r="C1535" s="11" t="s">
        <v>192</v>
      </c>
      <c r="D1535" s="11">
        <v>1</v>
      </c>
      <c r="E1535" s="11" t="s">
        <v>4</v>
      </c>
      <c r="F1535" s="12">
        <v>834300</v>
      </c>
      <c r="G1535" s="12">
        <v>834300</v>
      </c>
      <c r="H1535" s="11" t="str">
        <f t="shared" si="52"/>
        <v>平成4年12月5日</v>
      </c>
      <c r="I1535" s="22">
        <f t="shared" si="51"/>
        <v>33943</v>
      </c>
      <c r="J1535" s="1" t="str">
        <f>"00743705"</f>
        <v>00743705</v>
      </c>
      <c r="K1535" s="1" t="str">
        <f>"３４９　　　　　　　　　　　　　　　　　"</f>
        <v>３４９　　　　　　　　　　　　　　　　　</v>
      </c>
      <c r="L1535" s="1"/>
    </row>
    <row r="1536" spans="1:12" ht="18" customHeight="1" x14ac:dyDescent="0.15">
      <c r="A1536" s="11">
        <v>3641</v>
      </c>
      <c r="B1536" s="11" t="s">
        <v>30</v>
      </c>
      <c r="C1536" s="11" t="s">
        <v>192</v>
      </c>
      <c r="D1536" s="11">
        <v>1</v>
      </c>
      <c r="E1536" s="11" t="s">
        <v>4</v>
      </c>
      <c r="F1536" s="12">
        <v>834300</v>
      </c>
      <c r="G1536" s="12">
        <v>834300</v>
      </c>
      <c r="H1536" s="11" t="str">
        <f t="shared" si="52"/>
        <v>平成4年12月5日</v>
      </c>
      <c r="I1536" s="22">
        <f t="shared" si="51"/>
        <v>33943</v>
      </c>
      <c r="J1536" s="1" t="str">
        <f>"00743707"</f>
        <v>00743707</v>
      </c>
      <c r="K1536" s="1" t="str">
        <f>"３５０　　　　　　　　　　　　　　　　　"</f>
        <v>３５０　　　　　　　　　　　　　　　　　</v>
      </c>
      <c r="L1536" s="1"/>
    </row>
    <row r="1537" spans="1:12" ht="18" customHeight="1" x14ac:dyDescent="0.15">
      <c r="A1537" s="11">
        <v>3642</v>
      </c>
      <c r="B1537" s="11" t="s">
        <v>30</v>
      </c>
      <c r="C1537" s="11" t="s">
        <v>192</v>
      </c>
      <c r="D1537" s="11">
        <v>1</v>
      </c>
      <c r="E1537" s="11" t="s">
        <v>4</v>
      </c>
      <c r="F1537" s="12">
        <v>834300</v>
      </c>
      <c r="G1537" s="12">
        <v>834300</v>
      </c>
      <c r="H1537" s="11" t="str">
        <f t="shared" si="52"/>
        <v>平成4年12月5日</v>
      </c>
      <c r="I1537" s="22">
        <f t="shared" si="51"/>
        <v>33943</v>
      </c>
      <c r="J1537" s="1" t="str">
        <f>"00743709"</f>
        <v>00743709</v>
      </c>
      <c r="K1537" s="1" t="str">
        <f>"３５１　　　　　　　　　　　　　　　　　"</f>
        <v>３５１　　　　　　　　　　　　　　　　　</v>
      </c>
      <c r="L1537" s="1"/>
    </row>
    <row r="1538" spans="1:12" ht="18" customHeight="1" x14ac:dyDescent="0.15">
      <c r="A1538" s="11">
        <v>3643</v>
      </c>
      <c r="B1538" s="11" t="s">
        <v>30</v>
      </c>
      <c r="C1538" s="11" t="s">
        <v>192</v>
      </c>
      <c r="D1538" s="11">
        <v>1</v>
      </c>
      <c r="E1538" s="11" t="s">
        <v>4</v>
      </c>
      <c r="F1538" s="12">
        <v>834300</v>
      </c>
      <c r="G1538" s="12">
        <v>834300</v>
      </c>
      <c r="H1538" s="11" t="str">
        <f t="shared" si="52"/>
        <v>平成4年12月5日</v>
      </c>
      <c r="I1538" s="22">
        <f t="shared" si="51"/>
        <v>33943</v>
      </c>
      <c r="J1538" s="1" t="str">
        <f>"00743711"</f>
        <v>00743711</v>
      </c>
      <c r="K1538" s="1" t="str">
        <f>"３５２　　　　　　　　　　　　　　　　　"</f>
        <v>３５２　　　　　　　　　　　　　　　　　</v>
      </c>
      <c r="L1538" s="1"/>
    </row>
    <row r="1539" spans="1:12" ht="18" customHeight="1" x14ac:dyDescent="0.15">
      <c r="A1539" s="11">
        <v>3685</v>
      </c>
      <c r="B1539" s="11" t="s">
        <v>198</v>
      </c>
      <c r="C1539" s="11" t="s">
        <v>199</v>
      </c>
      <c r="D1539" s="11">
        <v>1</v>
      </c>
      <c r="E1539" s="11" t="s">
        <v>4</v>
      </c>
      <c r="F1539" s="12">
        <v>164800</v>
      </c>
      <c r="G1539" s="12">
        <v>164800</v>
      </c>
      <c r="H1539" s="11" t="str">
        <f t="shared" si="52"/>
        <v>平成4年12月5日</v>
      </c>
      <c r="I1539" s="22">
        <f t="shared" si="51"/>
        <v>33943</v>
      </c>
      <c r="J1539" s="1" t="str">
        <f>"00743798"</f>
        <v>00743798</v>
      </c>
      <c r="K1539" s="1" t="str">
        <f>"３０１　　　　　　　　　　　　　　　　　"</f>
        <v>３０１　　　　　　　　　　　　　　　　　</v>
      </c>
      <c r="L1539" s="1"/>
    </row>
    <row r="1540" spans="1:12" ht="18" customHeight="1" x14ac:dyDescent="0.15">
      <c r="A1540" s="11">
        <v>3686</v>
      </c>
      <c r="B1540" s="11" t="s">
        <v>198</v>
      </c>
      <c r="C1540" s="11" t="s">
        <v>199</v>
      </c>
      <c r="D1540" s="11">
        <v>1</v>
      </c>
      <c r="E1540" s="11" t="s">
        <v>4</v>
      </c>
      <c r="F1540" s="12">
        <v>164800</v>
      </c>
      <c r="G1540" s="12">
        <v>164800</v>
      </c>
      <c r="H1540" s="11" t="str">
        <f t="shared" si="52"/>
        <v>平成4年12月5日</v>
      </c>
      <c r="I1540" s="22">
        <f t="shared" si="51"/>
        <v>33943</v>
      </c>
      <c r="J1540" s="1" t="str">
        <f>"00743800"</f>
        <v>00743800</v>
      </c>
      <c r="K1540" s="1" t="str">
        <f>"３０２　　　　　　　　　　　　　　　　　"</f>
        <v>３０２　　　　　　　　　　　　　　　　　</v>
      </c>
      <c r="L1540" s="1"/>
    </row>
    <row r="1541" spans="1:12" ht="18" customHeight="1" x14ac:dyDescent="0.15">
      <c r="A1541" s="11">
        <v>3687</v>
      </c>
      <c r="B1541" s="11" t="s">
        <v>198</v>
      </c>
      <c r="C1541" s="11" t="s">
        <v>199</v>
      </c>
      <c r="D1541" s="11">
        <v>1</v>
      </c>
      <c r="E1541" s="11" t="s">
        <v>4</v>
      </c>
      <c r="F1541" s="12">
        <v>164800</v>
      </c>
      <c r="G1541" s="12">
        <v>164800</v>
      </c>
      <c r="H1541" s="11" t="str">
        <f t="shared" si="52"/>
        <v>平成4年12月5日</v>
      </c>
      <c r="I1541" s="22">
        <f t="shared" si="51"/>
        <v>33943</v>
      </c>
      <c r="J1541" s="1" t="str">
        <f>"00743802"</f>
        <v>00743802</v>
      </c>
      <c r="K1541" s="1" t="str">
        <f>"３０３　　　　　　　　　　　　　　　　　"</f>
        <v>３０３　　　　　　　　　　　　　　　　　</v>
      </c>
      <c r="L1541" s="1"/>
    </row>
    <row r="1542" spans="1:12" ht="18" customHeight="1" x14ac:dyDescent="0.15">
      <c r="A1542" s="11">
        <v>3688</v>
      </c>
      <c r="B1542" s="11" t="s">
        <v>198</v>
      </c>
      <c r="C1542" s="11" t="s">
        <v>199</v>
      </c>
      <c r="D1542" s="11">
        <v>1</v>
      </c>
      <c r="E1542" s="11" t="s">
        <v>4</v>
      </c>
      <c r="F1542" s="12">
        <v>164800</v>
      </c>
      <c r="G1542" s="12">
        <v>164800</v>
      </c>
      <c r="H1542" s="11" t="str">
        <f t="shared" si="52"/>
        <v>平成4年12月5日</v>
      </c>
      <c r="I1542" s="22">
        <f t="shared" si="51"/>
        <v>33943</v>
      </c>
      <c r="J1542" s="1" t="str">
        <f>"00743804"</f>
        <v>00743804</v>
      </c>
      <c r="K1542" s="1" t="str">
        <f>"３０４　　　　　　　　　　　　　　　　　"</f>
        <v>３０４　　　　　　　　　　　　　　　　　</v>
      </c>
      <c r="L1542" s="1"/>
    </row>
    <row r="1543" spans="1:12" ht="18" customHeight="1" x14ac:dyDescent="0.15">
      <c r="A1543" s="11">
        <v>3694</v>
      </c>
      <c r="B1543" s="11" t="s">
        <v>200</v>
      </c>
      <c r="C1543" s="11" t="s">
        <v>201</v>
      </c>
      <c r="D1543" s="11">
        <v>1</v>
      </c>
      <c r="E1543" s="11" t="s">
        <v>4</v>
      </c>
      <c r="F1543" s="12">
        <v>23700</v>
      </c>
      <c r="G1543" s="12">
        <v>23700</v>
      </c>
      <c r="H1543" s="11" t="str">
        <f t="shared" si="52"/>
        <v>平成4年12月5日</v>
      </c>
      <c r="I1543" s="22">
        <f t="shared" si="51"/>
        <v>33943</v>
      </c>
      <c r="J1543" s="1" t="str">
        <f>"00743818"</f>
        <v>00743818</v>
      </c>
      <c r="K1543" s="1" t="str">
        <f>"３０１　　　　　　　　　　　　　　　　　"</f>
        <v>３０１　　　　　　　　　　　　　　　　　</v>
      </c>
      <c r="L1543" s="1"/>
    </row>
    <row r="1544" spans="1:12" ht="18" customHeight="1" x14ac:dyDescent="0.15">
      <c r="A1544" s="11">
        <v>3695</v>
      </c>
      <c r="B1544" s="11" t="s">
        <v>200</v>
      </c>
      <c r="C1544" s="11" t="s">
        <v>201</v>
      </c>
      <c r="D1544" s="11">
        <v>1</v>
      </c>
      <c r="E1544" s="11" t="s">
        <v>4</v>
      </c>
      <c r="F1544" s="12">
        <v>23700</v>
      </c>
      <c r="G1544" s="12">
        <v>23700</v>
      </c>
      <c r="H1544" s="11" t="str">
        <f t="shared" si="52"/>
        <v>平成4年12月5日</v>
      </c>
      <c r="I1544" s="22">
        <f t="shared" si="51"/>
        <v>33943</v>
      </c>
      <c r="J1544" s="1" t="str">
        <f>"00743821"</f>
        <v>00743821</v>
      </c>
      <c r="K1544" s="1" t="str">
        <f>"３０２　　　　　　　　　　　　　　　　　"</f>
        <v>３０２　　　　　　　　　　　　　　　　　</v>
      </c>
      <c r="L1544" s="1"/>
    </row>
    <row r="1545" spans="1:12" ht="18" customHeight="1" x14ac:dyDescent="0.15">
      <c r="A1545" s="11">
        <v>3696</v>
      </c>
      <c r="B1545" s="11" t="s">
        <v>200</v>
      </c>
      <c r="C1545" s="11" t="s">
        <v>201</v>
      </c>
      <c r="D1545" s="11">
        <v>1</v>
      </c>
      <c r="E1545" s="11" t="s">
        <v>4</v>
      </c>
      <c r="F1545" s="12">
        <v>23700</v>
      </c>
      <c r="G1545" s="12">
        <v>23700</v>
      </c>
      <c r="H1545" s="11" t="str">
        <f t="shared" si="52"/>
        <v>平成4年12月5日</v>
      </c>
      <c r="I1545" s="22">
        <f t="shared" si="51"/>
        <v>33943</v>
      </c>
      <c r="J1545" s="1" t="str">
        <f>"00743823"</f>
        <v>00743823</v>
      </c>
      <c r="K1545" s="1" t="str">
        <f>"３０３　　　　　　　　　　　　　　　　　"</f>
        <v>３０３　　　　　　　　　　　　　　　　　</v>
      </c>
      <c r="L1545" s="1"/>
    </row>
    <row r="1546" spans="1:12" ht="18" customHeight="1" x14ac:dyDescent="0.15">
      <c r="A1546" s="11">
        <v>3697</v>
      </c>
      <c r="B1546" s="11" t="s">
        <v>200</v>
      </c>
      <c r="C1546" s="11" t="s">
        <v>201</v>
      </c>
      <c r="D1546" s="11">
        <v>1</v>
      </c>
      <c r="E1546" s="11" t="s">
        <v>4</v>
      </c>
      <c r="F1546" s="12">
        <v>23700</v>
      </c>
      <c r="G1546" s="12">
        <v>23700</v>
      </c>
      <c r="H1546" s="11" t="str">
        <f t="shared" si="52"/>
        <v>平成4年12月5日</v>
      </c>
      <c r="I1546" s="22">
        <f t="shared" si="51"/>
        <v>33943</v>
      </c>
      <c r="J1546" s="1" t="str">
        <f>"00743824"</f>
        <v>00743824</v>
      </c>
      <c r="K1546" s="1" t="str">
        <f>"３０４　　　　　　　　　　　　　　　　　"</f>
        <v>３０４　　　　　　　　　　　　　　　　　</v>
      </c>
      <c r="L1546" s="1"/>
    </row>
    <row r="1547" spans="1:12" ht="18" customHeight="1" x14ac:dyDescent="0.15">
      <c r="A1547" s="11">
        <v>3698</v>
      </c>
      <c r="B1547" s="11" t="s">
        <v>200</v>
      </c>
      <c r="C1547" s="11" t="s">
        <v>201</v>
      </c>
      <c r="D1547" s="11">
        <v>1</v>
      </c>
      <c r="E1547" s="11" t="s">
        <v>4</v>
      </c>
      <c r="F1547" s="12">
        <v>23700</v>
      </c>
      <c r="G1547" s="12">
        <v>23700</v>
      </c>
      <c r="H1547" s="11" t="str">
        <f t="shared" si="52"/>
        <v>平成4年12月5日</v>
      </c>
      <c r="I1547" s="22">
        <f t="shared" si="51"/>
        <v>33943</v>
      </c>
      <c r="J1547" s="1" t="str">
        <f>"00743827"</f>
        <v>00743827</v>
      </c>
      <c r="K1547" s="1" t="str">
        <f>"３０５　　　　　　　　　　　　　　　　　"</f>
        <v>３０５　　　　　　　　　　　　　　　　　</v>
      </c>
      <c r="L1547" s="1"/>
    </row>
    <row r="1548" spans="1:12" ht="18" customHeight="1" x14ac:dyDescent="0.15">
      <c r="A1548" s="11">
        <v>3699</v>
      </c>
      <c r="B1548" s="11" t="s">
        <v>200</v>
      </c>
      <c r="C1548" s="11" t="s">
        <v>201</v>
      </c>
      <c r="D1548" s="11">
        <v>1</v>
      </c>
      <c r="E1548" s="11" t="s">
        <v>4</v>
      </c>
      <c r="F1548" s="12">
        <v>23700</v>
      </c>
      <c r="G1548" s="12">
        <v>23700</v>
      </c>
      <c r="H1548" s="11" t="str">
        <f t="shared" si="52"/>
        <v>平成4年12月5日</v>
      </c>
      <c r="I1548" s="22">
        <f t="shared" si="51"/>
        <v>33943</v>
      </c>
      <c r="J1548" s="1" t="str">
        <f>"00743828"</f>
        <v>00743828</v>
      </c>
      <c r="K1548" s="1" t="str">
        <f>"３０６　　　　　　　　　　　　　　　　　"</f>
        <v>３０６　　　　　　　　　　　　　　　　　</v>
      </c>
      <c r="L1548" s="1"/>
    </row>
    <row r="1549" spans="1:12" ht="18" customHeight="1" x14ac:dyDescent="0.15">
      <c r="A1549" s="11">
        <v>3700</v>
      </c>
      <c r="B1549" s="11" t="s">
        <v>200</v>
      </c>
      <c r="C1549" s="11" t="s">
        <v>201</v>
      </c>
      <c r="D1549" s="11">
        <v>1</v>
      </c>
      <c r="E1549" s="11" t="s">
        <v>4</v>
      </c>
      <c r="F1549" s="12">
        <v>23700</v>
      </c>
      <c r="G1549" s="12">
        <v>23700</v>
      </c>
      <c r="H1549" s="11" t="str">
        <f t="shared" si="52"/>
        <v>平成4年12月5日</v>
      </c>
      <c r="I1549" s="22">
        <f t="shared" si="51"/>
        <v>33943</v>
      </c>
      <c r="J1549" s="1" t="str">
        <f>"00743831"</f>
        <v>00743831</v>
      </c>
      <c r="K1549" s="1" t="str">
        <f>"３０７　　　　　　　　　　　　　　　　　"</f>
        <v>３０７　　　　　　　　　　　　　　　　　</v>
      </c>
      <c r="L1549" s="1"/>
    </row>
    <row r="1550" spans="1:12" ht="18" customHeight="1" x14ac:dyDescent="0.15">
      <c r="A1550" s="11">
        <v>3701</v>
      </c>
      <c r="B1550" s="11" t="s">
        <v>200</v>
      </c>
      <c r="C1550" s="11" t="s">
        <v>201</v>
      </c>
      <c r="D1550" s="11">
        <v>1</v>
      </c>
      <c r="E1550" s="11" t="s">
        <v>4</v>
      </c>
      <c r="F1550" s="12">
        <v>23700</v>
      </c>
      <c r="G1550" s="12">
        <v>23700</v>
      </c>
      <c r="H1550" s="11" t="str">
        <f t="shared" si="52"/>
        <v>平成4年12月5日</v>
      </c>
      <c r="I1550" s="22">
        <f t="shared" si="51"/>
        <v>33943</v>
      </c>
      <c r="J1550" s="1" t="str">
        <f>"00743833"</f>
        <v>00743833</v>
      </c>
      <c r="K1550" s="1" t="str">
        <f>"３０８　　　　　　　　　　　　　　　　　"</f>
        <v>３０８　　　　　　　　　　　　　　　　　</v>
      </c>
      <c r="L1550" s="1"/>
    </row>
    <row r="1551" spans="1:12" ht="18" customHeight="1" x14ac:dyDescent="0.15">
      <c r="A1551" s="11">
        <v>3702</v>
      </c>
      <c r="B1551" s="11" t="s">
        <v>200</v>
      </c>
      <c r="C1551" s="11" t="s">
        <v>201</v>
      </c>
      <c r="D1551" s="11">
        <v>1</v>
      </c>
      <c r="E1551" s="11" t="s">
        <v>4</v>
      </c>
      <c r="F1551" s="12">
        <v>23700</v>
      </c>
      <c r="G1551" s="12">
        <v>23700</v>
      </c>
      <c r="H1551" s="11" t="str">
        <f t="shared" si="52"/>
        <v>平成4年12月5日</v>
      </c>
      <c r="I1551" s="22">
        <f t="shared" si="51"/>
        <v>33943</v>
      </c>
      <c r="J1551" s="1" t="str">
        <f>"00743835"</f>
        <v>00743835</v>
      </c>
      <c r="K1551" s="1" t="str">
        <f>"３０９　　　　　　　　　　　　　　　　　"</f>
        <v>３０９　　　　　　　　　　　　　　　　　</v>
      </c>
      <c r="L1551" s="1"/>
    </row>
    <row r="1552" spans="1:12" ht="18" customHeight="1" x14ac:dyDescent="0.15">
      <c r="A1552" s="11">
        <v>3703</v>
      </c>
      <c r="B1552" s="11" t="s">
        <v>200</v>
      </c>
      <c r="C1552" s="11" t="s">
        <v>201</v>
      </c>
      <c r="D1552" s="11">
        <v>1</v>
      </c>
      <c r="E1552" s="11" t="s">
        <v>4</v>
      </c>
      <c r="F1552" s="12">
        <v>23700</v>
      </c>
      <c r="G1552" s="12">
        <v>23700</v>
      </c>
      <c r="H1552" s="11" t="str">
        <f t="shared" si="52"/>
        <v>平成4年12月5日</v>
      </c>
      <c r="I1552" s="22">
        <f t="shared" si="51"/>
        <v>33943</v>
      </c>
      <c r="J1552" s="1" t="str">
        <f>"00743837"</f>
        <v>00743837</v>
      </c>
      <c r="K1552" s="1" t="str">
        <f>"３１０　　　　　　　　　　　　　　　　　"</f>
        <v>３１０　　　　　　　　　　　　　　　　　</v>
      </c>
      <c r="L1552" s="1"/>
    </row>
    <row r="1553" spans="1:12" ht="18" customHeight="1" x14ac:dyDescent="0.15">
      <c r="A1553" s="11">
        <v>3704</v>
      </c>
      <c r="B1553" s="11" t="s">
        <v>200</v>
      </c>
      <c r="C1553" s="11" t="s">
        <v>201</v>
      </c>
      <c r="D1553" s="11">
        <v>1</v>
      </c>
      <c r="E1553" s="11" t="s">
        <v>4</v>
      </c>
      <c r="F1553" s="12">
        <v>23700</v>
      </c>
      <c r="G1553" s="12">
        <v>23700</v>
      </c>
      <c r="H1553" s="11" t="str">
        <f t="shared" si="52"/>
        <v>平成4年12月5日</v>
      </c>
      <c r="I1553" s="22">
        <f t="shared" si="51"/>
        <v>33943</v>
      </c>
      <c r="J1553" s="1" t="str">
        <f>"00743839"</f>
        <v>00743839</v>
      </c>
      <c r="K1553" s="1" t="str">
        <f>"３１１　　　　　　　　　　　　　　　　　"</f>
        <v>３１１　　　　　　　　　　　　　　　　　</v>
      </c>
      <c r="L1553" s="1"/>
    </row>
    <row r="1554" spans="1:12" ht="18" customHeight="1" x14ac:dyDescent="0.15">
      <c r="A1554" s="11">
        <v>3705</v>
      </c>
      <c r="B1554" s="11" t="s">
        <v>200</v>
      </c>
      <c r="C1554" s="11" t="s">
        <v>201</v>
      </c>
      <c r="D1554" s="11">
        <v>1</v>
      </c>
      <c r="E1554" s="11" t="s">
        <v>4</v>
      </c>
      <c r="F1554" s="12">
        <v>23700</v>
      </c>
      <c r="G1554" s="12">
        <v>23700</v>
      </c>
      <c r="H1554" s="11" t="str">
        <f t="shared" si="52"/>
        <v>平成4年12月5日</v>
      </c>
      <c r="I1554" s="22">
        <f t="shared" ref="I1554:I1617" si="53">DATEVALUE(H1554)</f>
        <v>33943</v>
      </c>
      <c r="J1554" s="1" t="str">
        <f>"00743840"</f>
        <v>00743840</v>
      </c>
      <c r="K1554" s="1" t="str">
        <f>"３１２　　　　　　　　　　　　　　　　　"</f>
        <v>３１２　　　　　　　　　　　　　　　　　</v>
      </c>
      <c r="L1554" s="1"/>
    </row>
    <row r="1555" spans="1:12" ht="18" customHeight="1" x14ac:dyDescent="0.15">
      <c r="A1555" s="11">
        <v>3717</v>
      </c>
      <c r="B1555" s="11" t="s">
        <v>206</v>
      </c>
      <c r="C1555" s="11" t="s">
        <v>207</v>
      </c>
      <c r="D1555" s="11">
        <v>1</v>
      </c>
      <c r="E1555" s="11" t="s">
        <v>4</v>
      </c>
      <c r="F1555" s="12">
        <v>441200</v>
      </c>
      <c r="G1555" s="12">
        <v>441200</v>
      </c>
      <c r="H1555" s="11" t="str">
        <f t="shared" si="52"/>
        <v>平成4年12月5日</v>
      </c>
      <c r="I1555" s="22">
        <f t="shared" si="53"/>
        <v>33943</v>
      </c>
      <c r="J1555" s="1" t="str">
        <f>"00743865"</f>
        <v>00743865</v>
      </c>
      <c r="K1555" s="1" t="str">
        <f>"３０１　　　　　　　　　　　　　　　　　"</f>
        <v>３０１　　　　　　　　　　　　　　　　　</v>
      </c>
      <c r="L1555" s="1"/>
    </row>
    <row r="1556" spans="1:12" ht="18" customHeight="1" x14ac:dyDescent="0.15">
      <c r="A1556" s="11">
        <v>3718</v>
      </c>
      <c r="B1556" s="11" t="s">
        <v>206</v>
      </c>
      <c r="C1556" s="11" t="s">
        <v>208</v>
      </c>
      <c r="D1556" s="11">
        <v>1</v>
      </c>
      <c r="E1556" s="11" t="s">
        <v>4</v>
      </c>
      <c r="F1556" s="12">
        <v>222500</v>
      </c>
      <c r="G1556" s="12">
        <v>222500</v>
      </c>
      <c r="H1556" s="11" t="str">
        <f t="shared" si="52"/>
        <v>平成4年12月5日</v>
      </c>
      <c r="I1556" s="22">
        <f t="shared" si="53"/>
        <v>33943</v>
      </c>
      <c r="J1556" s="1" t="str">
        <f>"00743867"</f>
        <v>00743867</v>
      </c>
      <c r="K1556" s="1" t="str">
        <f>"３０２　　　　　　　　　　　　　　　　　"</f>
        <v>３０２　　　　　　　　　　　　　　　　　</v>
      </c>
      <c r="L1556" s="1"/>
    </row>
    <row r="1557" spans="1:12" ht="18" customHeight="1" x14ac:dyDescent="0.15">
      <c r="A1557" s="11">
        <v>3719</v>
      </c>
      <c r="B1557" s="11" t="s">
        <v>206</v>
      </c>
      <c r="C1557" s="11" t="s">
        <v>209</v>
      </c>
      <c r="D1557" s="11">
        <v>1</v>
      </c>
      <c r="E1557" s="11" t="s">
        <v>4</v>
      </c>
      <c r="F1557" s="12">
        <v>147400</v>
      </c>
      <c r="G1557" s="12">
        <v>147400</v>
      </c>
      <c r="H1557" s="11" t="str">
        <f t="shared" si="52"/>
        <v>平成4年12月5日</v>
      </c>
      <c r="I1557" s="22">
        <f t="shared" si="53"/>
        <v>33943</v>
      </c>
      <c r="J1557" s="1" t="str">
        <f>"00743869"</f>
        <v>00743869</v>
      </c>
      <c r="K1557" s="1" t="str">
        <f>"３０３　　　　　　　　　　　　　　　　　"</f>
        <v>３０３　　　　　　　　　　　　　　　　　</v>
      </c>
      <c r="L1557" s="1"/>
    </row>
    <row r="1558" spans="1:12" ht="18" customHeight="1" x14ac:dyDescent="0.15">
      <c r="A1558" s="11">
        <v>3720</v>
      </c>
      <c r="B1558" s="11" t="s">
        <v>206</v>
      </c>
      <c r="C1558" s="11" t="s">
        <v>209</v>
      </c>
      <c r="D1558" s="11">
        <v>1</v>
      </c>
      <c r="E1558" s="11" t="s">
        <v>4</v>
      </c>
      <c r="F1558" s="12">
        <v>147400</v>
      </c>
      <c r="G1558" s="12">
        <v>147400</v>
      </c>
      <c r="H1558" s="11" t="str">
        <f t="shared" si="52"/>
        <v>平成4年12月5日</v>
      </c>
      <c r="I1558" s="22">
        <f t="shared" si="53"/>
        <v>33943</v>
      </c>
      <c r="J1558" s="1" t="str">
        <f>"00743871"</f>
        <v>00743871</v>
      </c>
      <c r="K1558" s="1" t="str">
        <f>"３０６　　　　　　　　　　　　　　　　　"</f>
        <v>３０６　　　　　　　　　　　　　　　　　</v>
      </c>
      <c r="L1558" s="1"/>
    </row>
    <row r="1559" spans="1:12" ht="18" customHeight="1" x14ac:dyDescent="0.15">
      <c r="A1559" s="11">
        <v>3721</v>
      </c>
      <c r="B1559" s="11" t="s">
        <v>206</v>
      </c>
      <c r="C1559" s="11" t="s">
        <v>210</v>
      </c>
      <c r="D1559" s="11">
        <v>1</v>
      </c>
      <c r="E1559" s="11" t="s">
        <v>4</v>
      </c>
      <c r="F1559" s="12">
        <v>131100</v>
      </c>
      <c r="G1559" s="12">
        <v>131100</v>
      </c>
      <c r="H1559" s="11" t="str">
        <f t="shared" si="52"/>
        <v>平成4年12月5日</v>
      </c>
      <c r="I1559" s="22">
        <f t="shared" si="53"/>
        <v>33943</v>
      </c>
      <c r="J1559" s="1" t="str">
        <f>"00743873"</f>
        <v>00743873</v>
      </c>
      <c r="K1559" s="1" t="str">
        <f>"３０７　　　　　　　　　　　　　　　　　"</f>
        <v>３０７　　　　　　　　　　　　　　　　　</v>
      </c>
      <c r="L1559" s="1"/>
    </row>
    <row r="1560" spans="1:12" ht="18" customHeight="1" x14ac:dyDescent="0.15">
      <c r="A1560" s="11">
        <v>3722</v>
      </c>
      <c r="B1560" s="11" t="s">
        <v>206</v>
      </c>
      <c r="C1560" s="11" t="s">
        <v>210</v>
      </c>
      <c r="D1560" s="11">
        <v>1</v>
      </c>
      <c r="E1560" s="11" t="s">
        <v>4</v>
      </c>
      <c r="F1560" s="12">
        <v>131100</v>
      </c>
      <c r="G1560" s="12">
        <v>131100</v>
      </c>
      <c r="H1560" s="11" t="str">
        <f t="shared" si="52"/>
        <v>平成4年12月5日</v>
      </c>
      <c r="I1560" s="22">
        <f t="shared" si="53"/>
        <v>33943</v>
      </c>
      <c r="J1560" s="1" t="str">
        <f>"00743875"</f>
        <v>00743875</v>
      </c>
      <c r="K1560" s="1" t="str">
        <f>"３０９　　　　　　　　　　　　　　　　　"</f>
        <v>３０９　　　　　　　　　　　　　　　　　</v>
      </c>
      <c r="L1560" s="1"/>
    </row>
    <row r="1561" spans="1:12" ht="18" customHeight="1" x14ac:dyDescent="0.15">
      <c r="A1561" s="11">
        <v>3777</v>
      </c>
      <c r="B1561" s="11" t="s">
        <v>222</v>
      </c>
      <c r="C1561" s="11" t="s">
        <v>223</v>
      </c>
      <c r="D1561" s="11">
        <v>1</v>
      </c>
      <c r="E1561" s="11" t="s">
        <v>4</v>
      </c>
      <c r="F1561" s="12">
        <v>79400</v>
      </c>
      <c r="G1561" s="12">
        <v>79400</v>
      </c>
      <c r="H1561" s="11" t="str">
        <f t="shared" si="52"/>
        <v>平成4年12月5日</v>
      </c>
      <c r="I1561" s="22">
        <f t="shared" si="53"/>
        <v>33943</v>
      </c>
      <c r="J1561" s="1" t="str">
        <f>"00743987"</f>
        <v>00743987</v>
      </c>
      <c r="K1561" s="1" t="str">
        <f>"３０１　　　　　　　　　　　　　　　　　"</f>
        <v>３０１　　　　　　　　　　　　　　　　　</v>
      </c>
      <c r="L1561" s="1"/>
    </row>
    <row r="1562" spans="1:12" ht="18" customHeight="1" x14ac:dyDescent="0.15">
      <c r="A1562" s="11">
        <v>3778</v>
      </c>
      <c r="B1562" s="11" t="s">
        <v>222</v>
      </c>
      <c r="C1562" s="11" t="s">
        <v>223</v>
      </c>
      <c r="D1562" s="11">
        <v>1</v>
      </c>
      <c r="E1562" s="11" t="s">
        <v>4</v>
      </c>
      <c r="F1562" s="12">
        <v>79400</v>
      </c>
      <c r="G1562" s="12">
        <v>79400</v>
      </c>
      <c r="H1562" s="11" t="str">
        <f t="shared" si="52"/>
        <v>平成4年12月5日</v>
      </c>
      <c r="I1562" s="22">
        <f t="shared" si="53"/>
        <v>33943</v>
      </c>
      <c r="J1562" s="1" t="str">
        <f>"00743989"</f>
        <v>00743989</v>
      </c>
      <c r="K1562" s="1" t="str">
        <f>"３０２　　　　　　　　　　　　　　　　　"</f>
        <v>３０２　　　　　　　　　　　　　　　　　</v>
      </c>
      <c r="L1562" s="1"/>
    </row>
    <row r="1563" spans="1:12" ht="18" customHeight="1" x14ac:dyDescent="0.15">
      <c r="A1563" s="11">
        <v>3779</v>
      </c>
      <c r="B1563" s="11" t="s">
        <v>222</v>
      </c>
      <c r="C1563" s="11" t="s">
        <v>224</v>
      </c>
      <c r="D1563" s="11">
        <v>1</v>
      </c>
      <c r="E1563" s="11" t="s">
        <v>4</v>
      </c>
      <c r="F1563" s="12">
        <v>81400</v>
      </c>
      <c r="G1563" s="12">
        <v>81400</v>
      </c>
      <c r="H1563" s="11" t="str">
        <f t="shared" si="52"/>
        <v>平成4年12月5日</v>
      </c>
      <c r="I1563" s="22">
        <f t="shared" si="53"/>
        <v>33943</v>
      </c>
      <c r="J1563" s="1" t="str">
        <f>"00743991"</f>
        <v>00743991</v>
      </c>
      <c r="K1563" s="1" t="str">
        <f>"３０３　　　　　　　　　　　　　　　　　"</f>
        <v>３０３　　　　　　　　　　　　　　　　　</v>
      </c>
      <c r="L1563" s="1"/>
    </row>
    <row r="1564" spans="1:12" ht="18" customHeight="1" x14ac:dyDescent="0.15">
      <c r="A1564" s="11">
        <v>3780</v>
      </c>
      <c r="B1564" s="11" t="s">
        <v>222</v>
      </c>
      <c r="C1564" s="11" t="s">
        <v>224</v>
      </c>
      <c r="D1564" s="11">
        <v>1</v>
      </c>
      <c r="E1564" s="11" t="s">
        <v>4</v>
      </c>
      <c r="F1564" s="12">
        <v>81400</v>
      </c>
      <c r="G1564" s="12">
        <v>81400</v>
      </c>
      <c r="H1564" s="11" t="str">
        <f t="shared" si="52"/>
        <v>平成4年12月5日</v>
      </c>
      <c r="I1564" s="22">
        <f t="shared" si="53"/>
        <v>33943</v>
      </c>
      <c r="J1564" s="1" t="str">
        <f>"00743993"</f>
        <v>00743993</v>
      </c>
      <c r="K1564" s="1" t="str">
        <f>"３０４　　　　　　　　　　　　　　　　　"</f>
        <v>３０４　　　　　　　　　　　　　　　　　</v>
      </c>
      <c r="L1564" s="1"/>
    </row>
    <row r="1565" spans="1:12" ht="18" customHeight="1" x14ac:dyDescent="0.15">
      <c r="A1565" s="11">
        <v>3781</v>
      </c>
      <c r="B1565" s="11" t="s">
        <v>222</v>
      </c>
      <c r="C1565" s="11" t="s">
        <v>224</v>
      </c>
      <c r="D1565" s="11">
        <v>1</v>
      </c>
      <c r="E1565" s="11" t="s">
        <v>4</v>
      </c>
      <c r="F1565" s="12">
        <v>81400</v>
      </c>
      <c r="G1565" s="12">
        <v>81400</v>
      </c>
      <c r="H1565" s="11" t="str">
        <f t="shared" si="52"/>
        <v>平成4年12月5日</v>
      </c>
      <c r="I1565" s="22">
        <f t="shared" si="53"/>
        <v>33943</v>
      </c>
      <c r="J1565" s="1" t="str">
        <f>"00743995"</f>
        <v>00743995</v>
      </c>
      <c r="K1565" s="1" t="str">
        <f>"３０５　　　　　　　　　　　　　　　　　"</f>
        <v>３０５　　　　　　　　　　　　　　　　　</v>
      </c>
      <c r="L1565" s="1"/>
    </row>
    <row r="1566" spans="1:12" ht="18" customHeight="1" x14ac:dyDescent="0.15">
      <c r="A1566" s="11">
        <v>3782</v>
      </c>
      <c r="B1566" s="11" t="s">
        <v>222</v>
      </c>
      <c r="C1566" s="11" t="s">
        <v>224</v>
      </c>
      <c r="D1566" s="11">
        <v>1</v>
      </c>
      <c r="E1566" s="11" t="s">
        <v>4</v>
      </c>
      <c r="F1566" s="12">
        <v>81400</v>
      </c>
      <c r="G1566" s="12">
        <v>81400</v>
      </c>
      <c r="H1566" s="11" t="str">
        <f t="shared" si="52"/>
        <v>平成4年12月5日</v>
      </c>
      <c r="I1566" s="22">
        <f t="shared" si="53"/>
        <v>33943</v>
      </c>
      <c r="J1566" s="1" t="str">
        <f>"00743997"</f>
        <v>00743997</v>
      </c>
      <c r="K1566" s="1" t="str">
        <f>"３０６　　　　　　　　　　　　　　　　　"</f>
        <v>３０６　　　　　　　　　　　　　　　　　</v>
      </c>
      <c r="L1566" s="1"/>
    </row>
    <row r="1567" spans="1:12" ht="18" customHeight="1" x14ac:dyDescent="0.15">
      <c r="A1567" s="11">
        <v>3783</v>
      </c>
      <c r="B1567" s="11" t="s">
        <v>222</v>
      </c>
      <c r="C1567" s="11" t="s">
        <v>225</v>
      </c>
      <c r="D1567" s="11">
        <v>1</v>
      </c>
      <c r="E1567" s="11" t="s">
        <v>4</v>
      </c>
      <c r="F1567" s="12">
        <v>50700</v>
      </c>
      <c r="G1567" s="12">
        <v>50700</v>
      </c>
      <c r="H1567" s="11" t="str">
        <f t="shared" si="52"/>
        <v>平成4年12月5日</v>
      </c>
      <c r="I1567" s="22">
        <f t="shared" si="53"/>
        <v>33943</v>
      </c>
      <c r="J1567" s="1" t="str">
        <f>"00743999"</f>
        <v>00743999</v>
      </c>
      <c r="K1567" s="1" t="str">
        <f>"３０８　　　　　　　　　　　　　　　　　"</f>
        <v>３０８　　　　　　　　　　　　　　　　　</v>
      </c>
      <c r="L1567" s="1"/>
    </row>
    <row r="1568" spans="1:12" ht="18" customHeight="1" x14ac:dyDescent="0.15">
      <c r="A1568" s="11">
        <v>3784</v>
      </c>
      <c r="B1568" s="11" t="s">
        <v>222</v>
      </c>
      <c r="C1568" s="11" t="s">
        <v>225</v>
      </c>
      <c r="D1568" s="11">
        <v>1</v>
      </c>
      <c r="E1568" s="11" t="s">
        <v>4</v>
      </c>
      <c r="F1568" s="12">
        <v>50700</v>
      </c>
      <c r="G1568" s="12">
        <v>50700</v>
      </c>
      <c r="H1568" s="11" t="str">
        <f t="shared" si="52"/>
        <v>平成4年12月5日</v>
      </c>
      <c r="I1568" s="22">
        <f t="shared" si="53"/>
        <v>33943</v>
      </c>
      <c r="J1568" s="1" t="str">
        <f>"00744001"</f>
        <v>00744001</v>
      </c>
      <c r="K1568" s="1" t="str">
        <f>"３１０　　　　　　　　　　　　　　　　　"</f>
        <v>３１０　　　　　　　　　　　　　　　　　</v>
      </c>
      <c r="L1568" s="1"/>
    </row>
    <row r="1569" spans="1:12" ht="18" customHeight="1" x14ac:dyDescent="0.15">
      <c r="A1569" s="11">
        <v>3785</v>
      </c>
      <c r="B1569" s="11" t="s">
        <v>222</v>
      </c>
      <c r="C1569" s="11" t="s">
        <v>225</v>
      </c>
      <c r="D1569" s="11">
        <v>1</v>
      </c>
      <c r="E1569" s="11" t="s">
        <v>4</v>
      </c>
      <c r="F1569" s="12">
        <v>50700</v>
      </c>
      <c r="G1569" s="12">
        <v>50700</v>
      </c>
      <c r="H1569" s="11" t="str">
        <f t="shared" si="52"/>
        <v>平成4年12月5日</v>
      </c>
      <c r="I1569" s="22">
        <f t="shared" si="53"/>
        <v>33943</v>
      </c>
      <c r="J1569" s="1" t="str">
        <f>"00744003"</f>
        <v>00744003</v>
      </c>
      <c r="K1569" s="1" t="str">
        <f>"３１１　　　　　　　　　　　　　　　　　"</f>
        <v>３１１　　　　　　　　　　　　　　　　　</v>
      </c>
      <c r="L1569" s="1"/>
    </row>
    <row r="1570" spans="1:12" ht="18" customHeight="1" x14ac:dyDescent="0.15">
      <c r="A1570" s="11">
        <v>3786</v>
      </c>
      <c r="B1570" s="11" t="s">
        <v>222</v>
      </c>
      <c r="C1570" s="11" t="s">
        <v>225</v>
      </c>
      <c r="D1570" s="11">
        <v>1</v>
      </c>
      <c r="E1570" s="11" t="s">
        <v>4</v>
      </c>
      <c r="F1570" s="12">
        <v>50700</v>
      </c>
      <c r="G1570" s="12">
        <v>50700</v>
      </c>
      <c r="H1570" s="11" t="str">
        <f t="shared" si="52"/>
        <v>平成4年12月5日</v>
      </c>
      <c r="I1570" s="22">
        <f t="shared" si="53"/>
        <v>33943</v>
      </c>
      <c r="J1570" s="1" t="str">
        <f>"00744005"</f>
        <v>00744005</v>
      </c>
      <c r="K1570" s="1" t="str">
        <f>"３１２　　　　　　　　　　　　　　　　　"</f>
        <v>３１２　　　　　　　　　　　　　　　　　</v>
      </c>
      <c r="L1570" s="1"/>
    </row>
    <row r="1571" spans="1:12" ht="18" customHeight="1" x14ac:dyDescent="0.15">
      <c r="A1571" s="11">
        <v>3787</v>
      </c>
      <c r="B1571" s="11" t="s">
        <v>222</v>
      </c>
      <c r="C1571" s="11" t="s">
        <v>225</v>
      </c>
      <c r="D1571" s="11">
        <v>1</v>
      </c>
      <c r="E1571" s="11" t="s">
        <v>4</v>
      </c>
      <c r="F1571" s="12">
        <v>50700</v>
      </c>
      <c r="G1571" s="12">
        <v>50700</v>
      </c>
      <c r="H1571" s="11" t="str">
        <f t="shared" si="52"/>
        <v>平成4年12月5日</v>
      </c>
      <c r="I1571" s="22">
        <f t="shared" si="53"/>
        <v>33943</v>
      </c>
      <c r="J1571" s="1" t="str">
        <f>"00744007"</f>
        <v>00744007</v>
      </c>
      <c r="K1571" s="1" t="str">
        <f>"３１５　　　　　　　　　　　　　　　　　"</f>
        <v>３１５　　　　　　　　　　　　　　　　　</v>
      </c>
      <c r="L1571" s="1"/>
    </row>
    <row r="1572" spans="1:12" ht="18" customHeight="1" x14ac:dyDescent="0.15">
      <c r="A1572" s="11">
        <v>3788</v>
      </c>
      <c r="B1572" s="11" t="s">
        <v>222</v>
      </c>
      <c r="C1572" s="11" t="s">
        <v>225</v>
      </c>
      <c r="D1572" s="11">
        <v>1</v>
      </c>
      <c r="E1572" s="11" t="s">
        <v>4</v>
      </c>
      <c r="F1572" s="12">
        <v>50700</v>
      </c>
      <c r="G1572" s="12">
        <v>50700</v>
      </c>
      <c r="H1572" s="11" t="str">
        <f t="shared" si="52"/>
        <v>平成4年12月5日</v>
      </c>
      <c r="I1572" s="22">
        <f t="shared" si="53"/>
        <v>33943</v>
      </c>
      <c r="J1572" s="1" t="str">
        <f>"00744009"</f>
        <v>00744009</v>
      </c>
      <c r="K1572" s="1" t="str">
        <f>"３１６　　　　　　　　　　　　　　　　　"</f>
        <v>３１６　　　　　　　　　　　　　　　　　</v>
      </c>
      <c r="L1572" s="1"/>
    </row>
    <row r="1573" spans="1:12" ht="18" customHeight="1" x14ac:dyDescent="0.15">
      <c r="A1573" s="11">
        <v>3789</v>
      </c>
      <c r="B1573" s="11" t="s">
        <v>222</v>
      </c>
      <c r="C1573" s="11" t="s">
        <v>226</v>
      </c>
      <c r="D1573" s="11">
        <v>1</v>
      </c>
      <c r="E1573" s="11" t="s">
        <v>4</v>
      </c>
      <c r="F1573" s="12">
        <v>24102</v>
      </c>
      <c r="G1573" s="12">
        <v>24102</v>
      </c>
      <c r="H1573" s="11" t="str">
        <f t="shared" si="52"/>
        <v>平成4年12月5日</v>
      </c>
      <c r="I1573" s="22">
        <f t="shared" si="53"/>
        <v>33943</v>
      </c>
      <c r="J1573" s="1" t="str">
        <f>"00744011"</f>
        <v>00744011</v>
      </c>
      <c r="K1573" s="1" t="str">
        <f>"３２１　　　　　　　　　　　　　　　　　"</f>
        <v>３２１　　　　　　　　　　　　　　　　　</v>
      </c>
      <c r="L1573" s="1"/>
    </row>
    <row r="1574" spans="1:12" ht="18" customHeight="1" x14ac:dyDescent="0.15">
      <c r="A1574" s="11">
        <v>3790</v>
      </c>
      <c r="B1574" s="11" t="s">
        <v>222</v>
      </c>
      <c r="C1574" s="11" t="s">
        <v>227</v>
      </c>
      <c r="D1574" s="11">
        <v>1</v>
      </c>
      <c r="E1574" s="11" t="s">
        <v>4</v>
      </c>
      <c r="F1574" s="12">
        <v>24102</v>
      </c>
      <c r="G1574" s="12">
        <v>24102</v>
      </c>
      <c r="H1574" s="11" t="str">
        <f t="shared" si="52"/>
        <v>平成4年12月5日</v>
      </c>
      <c r="I1574" s="22">
        <f t="shared" si="53"/>
        <v>33943</v>
      </c>
      <c r="J1574" s="1" t="str">
        <f>"00744015"</f>
        <v>00744015</v>
      </c>
      <c r="K1574" s="1" t="str">
        <f>"３２３　　　　　　　　　　　　　　　　　"</f>
        <v>３２３　　　　　　　　　　　　　　　　　</v>
      </c>
      <c r="L1574" s="1"/>
    </row>
    <row r="1575" spans="1:12" ht="18" customHeight="1" x14ac:dyDescent="0.15">
      <c r="A1575" s="11">
        <v>3801</v>
      </c>
      <c r="B1575" s="11" t="s">
        <v>67</v>
      </c>
      <c r="C1575" s="11" t="s">
        <v>229</v>
      </c>
      <c r="D1575" s="11">
        <v>1</v>
      </c>
      <c r="E1575" s="11" t="s">
        <v>4</v>
      </c>
      <c r="F1575" s="12">
        <v>98900</v>
      </c>
      <c r="G1575" s="12">
        <v>98900</v>
      </c>
      <c r="H1575" s="11" t="str">
        <f t="shared" si="52"/>
        <v>平成4年12月5日</v>
      </c>
      <c r="I1575" s="22">
        <f t="shared" si="53"/>
        <v>33943</v>
      </c>
      <c r="J1575" s="1" t="str">
        <f>"00744038"</f>
        <v>00744038</v>
      </c>
      <c r="K1575" s="1" t="str">
        <f>"３０１　　　　　　　　　　　　　　　　　"</f>
        <v>３０１　　　　　　　　　　　　　　　　　</v>
      </c>
      <c r="L1575" s="1"/>
    </row>
    <row r="1576" spans="1:12" ht="18" customHeight="1" x14ac:dyDescent="0.15">
      <c r="A1576" s="11">
        <v>3802</v>
      </c>
      <c r="B1576" s="11" t="s">
        <v>67</v>
      </c>
      <c r="C1576" s="11" t="s">
        <v>230</v>
      </c>
      <c r="D1576" s="11">
        <v>1</v>
      </c>
      <c r="E1576" s="11" t="s">
        <v>4</v>
      </c>
      <c r="F1576" s="12">
        <v>189600</v>
      </c>
      <c r="G1576" s="12">
        <v>189600</v>
      </c>
      <c r="H1576" s="11" t="str">
        <f t="shared" si="52"/>
        <v>平成4年12月5日</v>
      </c>
      <c r="I1576" s="22">
        <f t="shared" si="53"/>
        <v>33943</v>
      </c>
      <c r="J1576" s="1" t="str">
        <f>"00744042"</f>
        <v>00744042</v>
      </c>
      <c r="K1576" s="1" t="str">
        <f>"３０３　　　　　　　　　　　　　　　　　"</f>
        <v>３０３　　　　　　　　　　　　　　　　　</v>
      </c>
      <c r="L1576" s="1"/>
    </row>
    <row r="1577" spans="1:12" ht="18" customHeight="1" x14ac:dyDescent="0.15">
      <c r="A1577" s="11">
        <v>3803</v>
      </c>
      <c r="B1577" s="11" t="s">
        <v>67</v>
      </c>
      <c r="C1577" s="11" t="s">
        <v>229</v>
      </c>
      <c r="D1577" s="11">
        <v>1</v>
      </c>
      <c r="E1577" s="11" t="s">
        <v>4</v>
      </c>
      <c r="F1577" s="12">
        <v>65600</v>
      </c>
      <c r="G1577" s="12">
        <v>65600</v>
      </c>
      <c r="H1577" s="11" t="str">
        <f t="shared" si="52"/>
        <v>平成4年12月5日</v>
      </c>
      <c r="I1577" s="22">
        <f t="shared" si="53"/>
        <v>33943</v>
      </c>
      <c r="J1577" s="1" t="str">
        <f>"00744044"</f>
        <v>00744044</v>
      </c>
      <c r="K1577" s="1" t="str">
        <f>"３０４　　　　　　　　　　　　　　　　　"</f>
        <v>３０４　　　　　　　　　　　　　　　　　</v>
      </c>
      <c r="L1577" s="1"/>
    </row>
    <row r="1578" spans="1:12" ht="18" customHeight="1" x14ac:dyDescent="0.15">
      <c r="A1578" s="11">
        <v>3804</v>
      </c>
      <c r="B1578" s="11" t="s">
        <v>67</v>
      </c>
      <c r="C1578" s="11" t="s">
        <v>229</v>
      </c>
      <c r="D1578" s="11">
        <v>1</v>
      </c>
      <c r="E1578" s="11" t="s">
        <v>4</v>
      </c>
      <c r="F1578" s="12">
        <v>65600</v>
      </c>
      <c r="G1578" s="12">
        <v>65600</v>
      </c>
      <c r="H1578" s="11" t="str">
        <f t="shared" si="52"/>
        <v>平成4年12月5日</v>
      </c>
      <c r="I1578" s="22">
        <f t="shared" si="53"/>
        <v>33943</v>
      </c>
      <c r="J1578" s="1" t="str">
        <f>"00744047"</f>
        <v>00744047</v>
      </c>
      <c r="K1578" s="1" t="str">
        <f>"３０５　　　　　　　　　　　　　　　　　"</f>
        <v>３０５　　　　　　　　　　　　　　　　　</v>
      </c>
      <c r="L1578" s="1"/>
    </row>
    <row r="1579" spans="1:12" ht="18" customHeight="1" x14ac:dyDescent="0.15">
      <c r="A1579" s="11">
        <v>3805</v>
      </c>
      <c r="B1579" s="11" t="s">
        <v>67</v>
      </c>
      <c r="C1579" s="11" t="s">
        <v>229</v>
      </c>
      <c r="D1579" s="11">
        <v>1</v>
      </c>
      <c r="E1579" s="11" t="s">
        <v>4</v>
      </c>
      <c r="F1579" s="12">
        <v>65600</v>
      </c>
      <c r="G1579" s="12">
        <v>65600</v>
      </c>
      <c r="H1579" s="11" t="str">
        <f t="shared" si="52"/>
        <v>平成4年12月5日</v>
      </c>
      <c r="I1579" s="22">
        <f t="shared" si="53"/>
        <v>33943</v>
      </c>
      <c r="J1579" s="1" t="str">
        <f>"00744049"</f>
        <v>00744049</v>
      </c>
      <c r="K1579" s="1" t="str">
        <f>"３０６　　　　　　　　　　　　　　　　　"</f>
        <v>３０６　　　　　　　　　　　　　　　　　</v>
      </c>
      <c r="L1579" s="1"/>
    </row>
    <row r="1580" spans="1:12" ht="18" customHeight="1" x14ac:dyDescent="0.15">
      <c r="A1580" s="11">
        <v>3806</v>
      </c>
      <c r="B1580" s="11" t="s">
        <v>67</v>
      </c>
      <c r="C1580" s="11" t="s">
        <v>229</v>
      </c>
      <c r="D1580" s="11">
        <v>1</v>
      </c>
      <c r="E1580" s="11" t="s">
        <v>4</v>
      </c>
      <c r="F1580" s="12">
        <v>65600</v>
      </c>
      <c r="G1580" s="12">
        <v>65600</v>
      </c>
      <c r="H1580" s="11" t="str">
        <f t="shared" si="52"/>
        <v>平成4年12月5日</v>
      </c>
      <c r="I1580" s="22">
        <f t="shared" si="53"/>
        <v>33943</v>
      </c>
      <c r="J1580" s="1" t="str">
        <f>"00744050"</f>
        <v>00744050</v>
      </c>
      <c r="K1580" s="1" t="str">
        <f>"３０７　　　　　　　　　　　　　　　　　"</f>
        <v>３０７　　　　　　　　　　　　　　　　　</v>
      </c>
      <c r="L1580" s="1"/>
    </row>
    <row r="1581" spans="1:12" ht="18" customHeight="1" x14ac:dyDescent="0.15">
      <c r="A1581" s="11">
        <v>3807</v>
      </c>
      <c r="B1581" s="11" t="s">
        <v>67</v>
      </c>
      <c r="C1581" s="11" t="s">
        <v>98</v>
      </c>
      <c r="D1581" s="11">
        <v>1</v>
      </c>
      <c r="E1581" s="11" t="s">
        <v>4</v>
      </c>
      <c r="F1581" s="12">
        <v>23690</v>
      </c>
      <c r="G1581" s="12">
        <v>23690</v>
      </c>
      <c r="H1581" s="11" t="str">
        <f t="shared" si="52"/>
        <v>平成4年12月5日</v>
      </c>
      <c r="I1581" s="22">
        <f t="shared" si="53"/>
        <v>33943</v>
      </c>
      <c r="J1581" s="1" t="str">
        <f>"00744053"</f>
        <v>00744053</v>
      </c>
      <c r="K1581" s="1" t="str">
        <f>"３１９　　　　　　　　　　　　　　　　　"</f>
        <v>３１９　　　　　　　　　　　　　　　　　</v>
      </c>
      <c r="L1581" s="1"/>
    </row>
    <row r="1582" spans="1:12" ht="18" customHeight="1" x14ac:dyDescent="0.15">
      <c r="A1582" s="11">
        <v>3808</v>
      </c>
      <c r="B1582" s="11" t="s">
        <v>67</v>
      </c>
      <c r="C1582" s="11" t="s">
        <v>98</v>
      </c>
      <c r="D1582" s="11">
        <v>1</v>
      </c>
      <c r="E1582" s="11" t="s">
        <v>4</v>
      </c>
      <c r="F1582" s="12">
        <v>23690</v>
      </c>
      <c r="G1582" s="12">
        <v>23690</v>
      </c>
      <c r="H1582" s="11" t="str">
        <f t="shared" ref="H1582:H1645" si="54">"平成4年12月5日"</f>
        <v>平成4年12月5日</v>
      </c>
      <c r="I1582" s="22">
        <f t="shared" si="53"/>
        <v>33943</v>
      </c>
      <c r="J1582" s="1" t="str">
        <f>"00744055"</f>
        <v>00744055</v>
      </c>
      <c r="K1582" s="1" t="str">
        <f>"３２０　　　　　　　　　　　　　　　　　"</f>
        <v>３２０　　　　　　　　　　　　　　　　　</v>
      </c>
      <c r="L1582" s="1"/>
    </row>
    <row r="1583" spans="1:12" ht="18" customHeight="1" x14ac:dyDescent="0.15">
      <c r="A1583" s="11">
        <v>3809</v>
      </c>
      <c r="B1583" s="11" t="s">
        <v>67</v>
      </c>
      <c r="C1583" s="11" t="s">
        <v>98</v>
      </c>
      <c r="D1583" s="11">
        <v>1</v>
      </c>
      <c r="E1583" s="11" t="s">
        <v>4</v>
      </c>
      <c r="F1583" s="12">
        <v>23690</v>
      </c>
      <c r="G1583" s="12">
        <v>23690</v>
      </c>
      <c r="H1583" s="11" t="str">
        <f t="shared" si="54"/>
        <v>平成4年12月5日</v>
      </c>
      <c r="I1583" s="22">
        <f t="shared" si="53"/>
        <v>33943</v>
      </c>
      <c r="J1583" s="1" t="str">
        <f>"00744057"</f>
        <v>00744057</v>
      </c>
      <c r="K1583" s="1" t="str">
        <f>"３２１　　　　　　　　　　　　　　　　　"</f>
        <v>３２１　　　　　　　　　　　　　　　　　</v>
      </c>
      <c r="L1583" s="1"/>
    </row>
    <row r="1584" spans="1:12" ht="18" customHeight="1" x14ac:dyDescent="0.15">
      <c r="A1584" s="11">
        <v>3810</v>
      </c>
      <c r="B1584" s="11" t="s">
        <v>67</v>
      </c>
      <c r="C1584" s="11" t="s">
        <v>98</v>
      </c>
      <c r="D1584" s="11">
        <v>1</v>
      </c>
      <c r="E1584" s="11" t="s">
        <v>4</v>
      </c>
      <c r="F1584" s="12">
        <v>30900</v>
      </c>
      <c r="G1584" s="12">
        <v>30900</v>
      </c>
      <c r="H1584" s="11" t="str">
        <f t="shared" si="54"/>
        <v>平成4年12月5日</v>
      </c>
      <c r="I1584" s="22">
        <f t="shared" si="53"/>
        <v>33943</v>
      </c>
      <c r="J1584" s="1" t="str">
        <f>"00744059"</f>
        <v>00744059</v>
      </c>
      <c r="K1584" s="1" t="str">
        <f>"３２４　　　　　　　　　　　　　　　　　"</f>
        <v>３２４　　　　　　　　　　　　　　　　　</v>
      </c>
      <c r="L1584" s="1"/>
    </row>
    <row r="1585" spans="1:12" ht="18" customHeight="1" x14ac:dyDescent="0.15">
      <c r="A1585" s="11">
        <v>3811</v>
      </c>
      <c r="B1585" s="11" t="s">
        <v>67</v>
      </c>
      <c r="C1585" s="11" t="s">
        <v>98</v>
      </c>
      <c r="D1585" s="11">
        <v>1</v>
      </c>
      <c r="E1585" s="11" t="s">
        <v>4</v>
      </c>
      <c r="F1585" s="12">
        <v>30900</v>
      </c>
      <c r="G1585" s="12">
        <v>30900</v>
      </c>
      <c r="H1585" s="11" t="str">
        <f t="shared" si="54"/>
        <v>平成4年12月5日</v>
      </c>
      <c r="I1585" s="22">
        <f t="shared" si="53"/>
        <v>33943</v>
      </c>
      <c r="J1585" s="1" t="str">
        <f>"00744060"</f>
        <v>00744060</v>
      </c>
      <c r="K1585" s="1" t="str">
        <f>"３２５　　　　　　　　　　　　　　　　　"</f>
        <v>３２５　　　　　　　　　　　　　　　　　</v>
      </c>
      <c r="L1585" s="1"/>
    </row>
    <row r="1586" spans="1:12" ht="18" customHeight="1" x14ac:dyDescent="0.15">
      <c r="A1586" s="11">
        <v>3812</v>
      </c>
      <c r="B1586" s="11" t="s">
        <v>67</v>
      </c>
      <c r="C1586" s="11" t="s">
        <v>98</v>
      </c>
      <c r="D1586" s="11">
        <v>1</v>
      </c>
      <c r="E1586" s="11" t="s">
        <v>4</v>
      </c>
      <c r="F1586" s="12">
        <v>30900</v>
      </c>
      <c r="G1586" s="12">
        <v>30900</v>
      </c>
      <c r="H1586" s="11" t="str">
        <f t="shared" si="54"/>
        <v>平成4年12月5日</v>
      </c>
      <c r="I1586" s="22">
        <f t="shared" si="53"/>
        <v>33943</v>
      </c>
      <c r="J1586" s="1" t="str">
        <f>"00744063"</f>
        <v>00744063</v>
      </c>
      <c r="K1586" s="1" t="str">
        <f>"３２６　　　　　　　　　　　　　　　　　"</f>
        <v>３２６　　　　　　　　　　　　　　　　　</v>
      </c>
      <c r="L1586" s="1"/>
    </row>
    <row r="1587" spans="1:12" ht="18" customHeight="1" x14ac:dyDescent="0.15">
      <c r="A1587" s="11">
        <v>3813</v>
      </c>
      <c r="B1587" s="11" t="s">
        <v>67</v>
      </c>
      <c r="C1587" s="11" t="s">
        <v>98</v>
      </c>
      <c r="D1587" s="11">
        <v>1</v>
      </c>
      <c r="E1587" s="11" t="s">
        <v>4</v>
      </c>
      <c r="F1587" s="12">
        <v>30900</v>
      </c>
      <c r="G1587" s="12">
        <v>30900</v>
      </c>
      <c r="H1587" s="11" t="str">
        <f t="shared" si="54"/>
        <v>平成4年12月5日</v>
      </c>
      <c r="I1587" s="22">
        <f t="shared" si="53"/>
        <v>33943</v>
      </c>
      <c r="J1587" s="1" t="str">
        <f>"00744064"</f>
        <v>00744064</v>
      </c>
      <c r="K1587" s="1" t="str">
        <f>"３２７　　　　　　　　　　　　　　　　　"</f>
        <v>３２７　　　　　　　　　　　　　　　　　</v>
      </c>
      <c r="L1587" s="1"/>
    </row>
    <row r="1588" spans="1:12" ht="18" customHeight="1" x14ac:dyDescent="0.15">
      <c r="A1588" s="11">
        <v>3814</v>
      </c>
      <c r="B1588" s="11" t="s">
        <v>67</v>
      </c>
      <c r="C1588" s="11" t="s">
        <v>98</v>
      </c>
      <c r="D1588" s="11">
        <v>1</v>
      </c>
      <c r="E1588" s="11" t="s">
        <v>4</v>
      </c>
      <c r="F1588" s="12">
        <v>30900</v>
      </c>
      <c r="G1588" s="12">
        <v>30900</v>
      </c>
      <c r="H1588" s="11" t="str">
        <f t="shared" si="54"/>
        <v>平成4年12月5日</v>
      </c>
      <c r="I1588" s="22">
        <f t="shared" si="53"/>
        <v>33943</v>
      </c>
      <c r="J1588" s="1" t="str">
        <f>"00744066"</f>
        <v>00744066</v>
      </c>
      <c r="K1588" s="1" t="str">
        <f>"３２８　　　　　　　　　　　　　　　　　"</f>
        <v>３２８　　　　　　　　　　　　　　　　　</v>
      </c>
      <c r="L1588" s="1"/>
    </row>
    <row r="1589" spans="1:12" ht="18" customHeight="1" x14ac:dyDescent="0.15">
      <c r="A1589" s="11">
        <v>3815</v>
      </c>
      <c r="B1589" s="11" t="s">
        <v>67</v>
      </c>
      <c r="C1589" s="11" t="s">
        <v>98</v>
      </c>
      <c r="D1589" s="11">
        <v>1</v>
      </c>
      <c r="E1589" s="11" t="s">
        <v>4</v>
      </c>
      <c r="F1589" s="12">
        <v>26780</v>
      </c>
      <c r="G1589" s="12">
        <v>26780</v>
      </c>
      <c r="H1589" s="11" t="str">
        <f t="shared" si="54"/>
        <v>平成4年12月5日</v>
      </c>
      <c r="I1589" s="22">
        <f t="shared" si="53"/>
        <v>33943</v>
      </c>
      <c r="J1589" s="1" t="str">
        <f>"00744068"</f>
        <v>00744068</v>
      </c>
      <c r="K1589" s="1" t="str">
        <f>"３２９　　　　　　　　　　　　　　　　　"</f>
        <v>３２９　　　　　　　　　　　　　　　　　</v>
      </c>
      <c r="L1589" s="1"/>
    </row>
    <row r="1590" spans="1:12" ht="18" customHeight="1" x14ac:dyDescent="0.15">
      <c r="A1590" s="11">
        <v>3816</v>
      </c>
      <c r="B1590" s="11" t="s">
        <v>67</v>
      </c>
      <c r="C1590" s="11" t="s">
        <v>98</v>
      </c>
      <c r="D1590" s="11">
        <v>1</v>
      </c>
      <c r="E1590" s="11" t="s">
        <v>4</v>
      </c>
      <c r="F1590" s="12">
        <v>26780</v>
      </c>
      <c r="G1590" s="12">
        <v>26780</v>
      </c>
      <c r="H1590" s="11" t="str">
        <f t="shared" si="54"/>
        <v>平成4年12月5日</v>
      </c>
      <c r="I1590" s="22">
        <f t="shared" si="53"/>
        <v>33943</v>
      </c>
      <c r="J1590" s="1" t="str">
        <f>"00744070"</f>
        <v>00744070</v>
      </c>
      <c r="K1590" s="1" t="str">
        <f>"３３０　　　　　　　　　　　　　　　　　"</f>
        <v>３３０　　　　　　　　　　　　　　　　　</v>
      </c>
      <c r="L1590" s="1"/>
    </row>
    <row r="1591" spans="1:12" ht="18" customHeight="1" x14ac:dyDescent="0.15">
      <c r="A1591" s="11">
        <v>3817</v>
      </c>
      <c r="B1591" s="11" t="s">
        <v>67</v>
      </c>
      <c r="C1591" s="11" t="s">
        <v>231</v>
      </c>
      <c r="D1591" s="11">
        <v>1</v>
      </c>
      <c r="E1591" s="11" t="s">
        <v>4</v>
      </c>
      <c r="F1591" s="12">
        <v>28325</v>
      </c>
      <c r="G1591" s="12">
        <v>28325</v>
      </c>
      <c r="H1591" s="11" t="str">
        <f t="shared" si="54"/>
        <v>平成4年12月5日</v>
      </c>
      <c r="I1591" s="22">
        <f t="shared" si="53"/>
        <v>33943</v>
      </c>
      <c r="J1591" s="1" t="str">
        <f>"00744075"</f>
        <v>00744075</v>
      </c>
      <c r="K1591" s="1" t="str">
        <f>"３４１　　　　　　　　　　　　　　　　　"</f>
        <v>３４１　　　　　　　　　　　　　　　　　</v>
      </c>
      <c r="L1591" s="1"/>
    </row>
    <row r="1592" spans="1:12" ht="18" customHeight="1" x14ac:dyDescent="0.15">
      <c r="A1592" s="11">
        <v>3818</v>
      </c>
      <c r="B1592" s="11" t="s">
        <v>67</v>
      </c>
      <c r="C1592" s="11" t="s">
        <v>232</v>
      </c>
      <c r="D1592" s="11">
        <v>1</v>
      </c>
      <c r="E1592" s="11" t="s">
        <v>4</v>
      </c>
      <c r="F1592" s="12">
        <v>35020</v>
      </c>
      <c r="G1592" s="12">
        <v>35020</v>
      </c>
      <c r="H1592" s="11" t="str">
        <f t="shared" si="54"/>
        <v>平成4年12月5日</v>
      </c>
      <c r="I1592" s="22">
        <f t="shared" si="53"/>
        <v>33943</v>
      </c>
      <c r="J1592" s="1" t="str">
        <f>"00744077"</f>
        <v>00744077</v>
      </c>
      <c r="K1592" s="1" t="str">
        <f>"３４２　　　　　　　　　　　　　　　　　"</f>
        <v>３４２　　　　　　　　　　　　　　　　　</v>
      </c>
      <c r="L1592" s="1"/>
    </row>
    <row r="1593" spans="1:12" ht="18" customHeight="1" x14ac:dyDescent="0.15">
      <c r="A1593" s="11">
        <v>3942</v>
      </c>
      <c r="B1593" s="11" t="s">
        <v>245</v>
      </c>
      <c r="C1593" s="11" t="s">
        <v>246</v>
      </c>
      <c r="D1593" s="11">
        <v>1</v>
      </c>
      <c r="E1593" s="11" t="s">
        <v>4</v>
      </c>
      <c r="F1593" s="12">
        <v>71585</v>
      </c>
      <c r="G1593" s="12">
        <v>71585</v>
      </c>
      <c r="H1593" s="11" t="str">
        <f t="shared" si="54"/>
        <v>平成4年12月5日</v>
      </c>
      <c r="I1593" s="22">
        <f t="shared" si="53"/>
        <v>33943</v>
      </c>
      <c r="J1593" s="1" t="str">
        <f>"00744378"</f>
        <v>00744378</v>
      </c>
      <c r="K1593" s="1" t="str">
        <f>"３０１　　　　　　　　　　　　　　　　　"</f>
        <v>３０１　　　　　　　　　　　　　　　　　</v>
      </c>
      <c r="L1593" s="1"/>
    </row>
    <row r="1594" spans="1:12" ht="18" customHeight="1" x14ac:dyDescent="0.15">
      <c r="A1594" s="11">
        <v>3943</v>
      </c>
      <c r="B1594" s="11" t="s">
        <v>245</v>
      </c>
      <c r="C1594" s="11" t="s">
        <v>246</v>
      </c>
      <c r="D1594" s="11">
        <v>1</v>
      </c>
      <c r="E1594" s="11" t="s">
        <v>4</v>
      </c>
      <c r="F1594" s="12">
        <v>71585</v>
      </c>
      <c r="G1594" s="12">
        <v>71585</v>
      </c>
      <c r="H1594" s="11" t="str">
        <f t="shared" si="54"/>
        <v>平成4年12月5日</v>
      </c>
      <c r="I1594" s="22">
        <f t="shared" si="53"/>
        <v>33943</v>
      </c>
      <c r="J1594" s="1" t="str">
        <f>"00744380"</f>
        <v>00744380</v>
      </c>
      <c r="K1594" s="1" t="str">
        <f>"３０２　　　　　　　　　　　　　　　　　"</f>
        <v>３０２　　　　　　　　　　　　　　　　　</v>
      </c>
      <c r="L1594" s="1"/>
    </row>
    <row r="1595" spans="1:12" ht="18" customHeight="1" x14ac:dyDescent="0.15">
      <c r="A1595" s="11">
        <v>3944</v>
      </c>
      <c r="B1595" s="11" t="s">
        <v>245</v>
      </c>
      <c r="C1595" s="11" t="s">
        <v>246</v>
      </c>
      <c r="D1595" s="11">
        <v>1</v>
      </c>
      <c r="E1595" s="11" t="s">
        <v>4</v>
      </c>
      <c r="F1595" s="12">
        <v>71585</v>
      </c>
      <c r="G1595" s="12">
        <v>71585</v>
      </c>
      <c r="H1595" s="11" t="str">
        <f t="shared" si="54"/>
        <v>平成4年12月5日</v>
      </c>
      <c r="I1595" s="22">
        <f t="shared" si="53"/>
        <v>33943</v>
      </c>
      <c r="J1595" s="1" t="str">
        <f>"00744382"</f>
        <v>00744382</v>
      </c>
      <c r="K1595" s="1" t="str">
        <f>"３０３　　　　　　　　　　　　　　　　　"</f>
        <v>３０３　　　　　　　　　　　　　　　　　</v>
      </c>
      <c r="L1595" s="1"/>
    </row>
    <row r="1596" spans="1:12" ht="18" customHeight="1" x14ac:dyDescent="0.15">
      <c r="A1596" s="11">
        <v>3945</v>
      </c>
      <c r="B1596" s="11" t="s">
        <v>245</v>
      </c>
      <c r="C1596" s="11" t="s">
        <v>246</v>
      </c>
      <c r="D1596" s="11">
        <v>1</v>
      </c>
      <c r="E1596" s="11" t="s">
        <v>4</v>
      </c>
      <c r="F1596" s="12">
        <v>71585</v>
      </c>
      <c r="G1596" s="12">
        <v>71585</v>
      </c>
      <c r="H1596" s="11" t="str">
        <f t="shared" si="54"/>
        <v>平成4年12月5日</v>
      </c>
      <c r="I1596" s="22">
        <f t="shared" si="53"/>
        <v>33943</v>
      </c>
      <c r="J1596" s="1" t="str">
        <f>"00744384"</f>
        <v>00744384</v>
      </c>
      <c r="K1596" s="1" t="str">
        <f>"３０４　　　　　　　　　　　　　　　　　"</f>
        <v>３０４　　　　　　　　　　　　　　　　　</v>
      </c>
      <c r="L1596" s="1"/>
    </row>
    <row r="1597" spans="1:12" ht="18" customHeight="1" x14ac:dyDescent="0.15">
      <c r="A1597" s="11">
        <v>3946</v>
      </c>
      <c r="B1597" s="11" t="s">
        <v>101</v>
      </c>
      <c r="C1597" s="11" t="s">
        <v>247</v>
      </c>
      <c r="D1597" s="11">
        <v>1</v>
      </c>
      <c r="E1597" s="11" t="s">
        <v>4</v>
      </c>
      <c r="F1597" s="12">
        <v>20400</v>
      </c>
      <c r="G1597" s="12">
        <v>20400</v>
      </c>
      <c r="H1597" s="11" t="str">
        <f t="shared" si="54"/>
        <v>平成4年12月5日</v>
      </c>
      <c r="I1597" s="22">
        <f t="shared" si="53"/>
        <v>33943</v>
      </c>
      <c r="J1597" s="1" t="str">
        <f>"00744389"</f>
        <v>00744389</v>
      </c>
      <c r="K1597" s="1" t="str">
        <f>"３０２　　　　　　　　　　　　　　　　　"</f>
        <v>３０２　　　　　　　　　　　　　　　　　</v>
      </c>
      <c r="L1597" s="1"/>
    </row>
    <row r="1598" spans="1:12" ht="18" customHeight="1" x14ac:dyDescent="0.15">
      <c r="A1598" s="11">
        <v>3947</v>
      </c>
      <c r="B1598" s="11" t="s">
        <v>101</v>
      </c>
      <c r="C1598" s="11" t="s">
        <v>247</v>
      </c>
      <c r="D1598" s="11">
        <v>1</v>
      </c>
      <c r="E1598" s="11" t="s">
        <v>4</v>
      </c>
      <c r="F1598" s="12">
        <v>24000</v>
      </c>
      <c r="G1598" s="12">
        <v>24000</v>
      </c>
      <c r="H1598" s="11" t="str">
        <f t="shared" si="54"/>
        <v>平成4年12月5日</v>
      </c>
      <c r="I1598" s="22">
        <f t="shared" si="53"/>
        <v>33943</v>
      </c>
      <c r="J1598" s="1" t="str">
        <f>"00744390"</f>
        <v>00744390</v>
      </c>
      <c r="K1598" s="1" t="str">
        <f>"３０３　　　　　　　　　　　　　　　　　"</f>
        <v>３０３　　　　　　　　　　　　　　　　　</v>
      </c>
      <c r="L1598" s="1"/>
    </row>
    <row r="1599" spans="1:12" ht="18" customHeight="1" x14ac:dyDescent="0.15">
      <c r="A1599" s="11">
        <v>3948</v>
      </c>
      <c r="B1599" s="11" t="s">
        <v>101</v>
      </c>
      <c r="C1599" s="11" t="s">
        <v>248</v>
      </c>
      <c r="D1599" s="11">
        <v>1</v>
      </c>
      <c r="E1599" s="11" t="s">
        <v>4</v>
      </c>
      <c r="F1599" s="12">
        <v>985298</v>
      </c>
      <c r="G1599" s="12">
        <v>985298</v>
      </c>
      <c r="H1599" s="11" t="str">
        <f t="shared" si="54"/>
        <v>平成4年12月5日</v>
      </c>
      <c r="I1599" s="22">
        <f t="shared" si="53"/>
        <v>33943</v>
      </c>
      <c r="J1599" s="1" t="str">
        <f>"00744396"</f>
        <v>00744396</v>
      </c>
      <c r="K1599" s="1" t="str">
        <f>"３０６　　　　　　　　　　　　　　　　　"</f>
        <v>３０６　　　　　　　　　　　　　　　　　</v>
      </c>
      <c r="L1599" s="1"/>
    </row>
    <row r="1600" spans="1:12" ht="18" customHeight="1" x14ac:dyDescent="0.15">
      <c r="A1600" s="11">
        <v>3949</v>
      </c>
      <c r="B1600" s="11" t="s">
        <v>101</v>
      </c>
      <c r="C1600" s="11" t="s">
        <v>249</v>
      </c>
      <c r="D1600" s="11">
        <v>1</v>
      </c>
      <c r="E1600" s="11" t="s">
        <v>4</v>
      </c>
      <c r="F1600" s="12">
        <v>36565</v>
      </c>
      <c r="G1600" s="12">
        <v>36565</v>
      </c>
      <c r="H1600" s="11" t="str">
        <f t="shared" si="54"/>
        <v>平成4年12月5日</v>
      </c>
      <c r="I1600" s="22">
        <f t="shared" si="53"/>
        <v>33943</v>
      </c>
      <c r="J1600" s="1" t="str">
        <f>"00744399"</f>
        <v>00744399</v>
      </c>
      <c r="K1600" s="1" t="str">
        <f>"３０７　　　　　　　　　　　　　　　　　"</f>
        <v>３０７　　　　　　　　　　　　　　　　　</v>
      </c>
      <c r="L1600" s="1"/>
    </row>
    <row r="1601" spans="1:12" ht="18" customHeight="1" x14ac:dyDescent="0.15">
      <c r="A1601" s="11">
        <v>3950</v>
      </c>
      <c r="B1601" s="11" t="s">
        <v>101</v>
      </c>
      <c r="C1601" s="11" t="s">
        <v>249</v>
      </c>
      <c r="D1601" s="11">
        <v>1</v>
      </c>
      <c r="E1601" s="11" t="s">
        <v>4</v>
      </c>
      <c r="F1601" s="12">
        <v>36565</v>
      </c>
      <c r="G1601" s="12">
        <v>36565</v>
      </c>
      <c r="H1601" s="11" t="str">
        <f t="shared" si="54"/>
        <v>平成4年12月5日</v>
      </c>
      <c r="I1601" s="22">
        <f t="shared" si="53"/>
        <v>33943</v>
      </c>
      <c r="J1601" s="1" t="str">
        <f>"00744400"</f>
        <v>00744400</v>
      </c>
      <c r="K1601" s="1" t="str">
        <f>"３０８　　　　　　　　　　　　　　　　　"</f>
        <v>３０８　　　　　　　　　　　　　　　　　</v>
      </c>
      <c r="L1601" s="1"/>
    </row>
    <row r="1602" spans="1:12" ht="18" customHeight="1" x14ac:dyDescent="0.15">
      <c r="A1602" s="11">
        <v>3951</v>
      </c>
      <c r="B1602" s="11" t="s">
        <v>101</v>
      </c>
      <c r="C1602" s="11" t="s">
        <v>249</v>
      </c>
      <c r="D1602" s="11">
        <v>1</v>
      </c>
      <c r="E1602" s="11" t="s">
        <v>4</v>
      </c>
      <c r="F1602" s="12">
        <v>36565</v>
      </c>
      <c r="G1602" s="12">
        <v>36565</v>
      </c>
      <c r="H1602" s="11" t="str">
        <f t="shared" si="54"/>
        <v>平成4年12月5日</v>
      </c>
      <c r="I1602" s="22">
        <f t="shared" si="53"/>
        <v>33943</v>
      </c>
      <c r="J1602" s="1" t="str">
        <f>"00744402"</f>
        <v>00744402</v>
      </c>
      <c r="K1602" s="1" t="str">
        <f>"３０９　　　　　　　　　　　　　　　　　"</f>
        <v>３０９　　　　　　　　　　　　　　　　　</v>
      </c>
      <c r="L1602" s="1"/>
    </row>
    <row r="1603" spans="1:12" ht="18" customHeight="1" x14ac:dyDescent="0.15">
      <c r="A1603" s="11">
        <v>3952</v>
      </c>
      <c r="B1603" s="11" t="s">
        <v>101</v>
      </c>
      <c r="C1603" s="11" t="s">
        <v>249</v>
      </c>
      <c r="D1603" s="11">
        <v>1</v>
      </c>
      <c r="E1603" s="11" t="s">
        <v>4</v>
      </c>
      <c r="F1603" s="12">
        <v>36565</v>
      </c>
      <c r="G1603" s="12">
        <v>36565</v>
      </c>
      <c r="H1603" s="11" t="str">
        <f t="shared" si="54"/>
        <v>平成4年12月5日</v>
      </c>
      <c r="I1603" s="22">
        <f t="shared" si="53"/>
        <v>33943</v>
      </c>
      <c r="J1603" s="1" t="str">
        <f>"00744404"</f>
        <v>00744404</v>
      </c>
      <c r="K1603" s="1" t="str">
        <f>"３１０　　　　　　　　　　　　　　　　　"</f>
        <v>３１０　　　　　　　　　　　　　　　　　</v>
      </c>
      <c r="L1603" s="1"/>
    </row>
    <row r="1604" spans="1:12" ht="18" customHeight="1" x14ac:dyDescent="0.15">
      <c r="A1604" s="11">
        <v>3953</v>
      </c>
      <c r="B1604" s="11" t="s">
        <v>101</v>
      </c>
      <c r="C1604" s="11" t="s">
        <v>249</v>
      </c>
      <c r="D1604" s="11">
        <v>1</v>
      </c>
      <c r="E1604" s="11" t="s">
        <v>4</v>
      </c>
      <c r="F1604" s="12">
        <v>36565</v>
      </c>
      <c r="G1604" s="12">
        <v>36565</v>
      </c>
      <c r="H1604" s="11" t="str">
        <f t="shared" si="54"/>
        <v>平成4年12月5日</v>
      </c>
      <c r="I1604" s="22">
        <f t="shared" si="53"/>
        <v>33943</v>
      </c>
      <c r="J1604" s="1" t="str">
        <f>"00744406"</f>
        <v>00744406</v>
      </c>
      <c r="K1604" s="1" t="str">
        <f>"３１１　　　　　　　　　　　　　　　　　"</f>
        <v>３１１　　　　　　　　　　　　　　　　　</v>
      </c>
      <c r="L1604" s="1"/>
    </row>
    <row r="1605" spans="1:12" ht="18" customHeight="1" x14ac:dyDescent="0.15">
      <c r="A1605" s="11">
        <v>3954</v>
      </c>
      <c r="B1605" s="11" t="s">
        <v>101</v>
      </c>
      <c r="C1605" s="11" t="s">
        <v>249</v>
      </c>
      <c r="D1605" s="11">
        <v>1</v>
      </c>
      <c r="E1605" s="11" t="s">
        <v>4</v>
      </c>
      <c r="F1605" s="12">
        <v>36565</v>
      </c>
      <c r="G1605" s="12">
        <v>36565</v>
      </c>
      <c r="H1605" s="11" t="str">
        <f t="shared" si="54"/>
        <v>平成4年12月5日</v>
      </c>
      <c r="I1605" s="22">
        <f t="shared" si="53"/>
        <v>33943</v>
      </c>
      <c r="J1605" s="1" t="str">
        <f>"00744408"</f>
        <v>00744408</v>
      </c>
      <c r="K1605" s="1" t="str">
        <f>"３１２　　　　　　　　　　　　　　　　　"</f>
        <v>３１２　　　　　　　　　　　　　　　　　</v>
      </c>
      <c r="L1605" s="1"/>
    </row>
    <row r="1606" spans="1:12" ht="18" customHeight="1" x14ac:dyDescent="0.15">
      <c r="A1606" s="11">
        <v>3955</v>
      </c>
      <c r="B1606" s="11" t="s">
        <v>101</v>
      </c>
      <c r="C1606" s="11" t="s">
        <v>249</v>
      </c>
      <c r="D1606" s="11">
        <v>1</v>
      </c>
      <c r="E1606" s="11" t="s">
        <v>4</v>
      </c>
      <c r="F1606" s="12">
        <v>36565</v>
      </c>
      <c r="G1606" s="12">
        <v>36565</v>
      </c>
      <c r="H1606" s="11" t="str">
        <f t="shared" si="54"/>
        <v>平成4年12月5日</v>
      </c>
      <c r="I1606" s="22">
        <f t="shared" si="53"/>
        <v>33943</v>
      </c>
      <c r="J1606" s="1" t="str">
        <f>"00744411"</f>
        <v>00744411</v>
      </c>
      <c r="K1606" s="1" t="str">
        <f>"３１３　　　　　　　　　　　　　　　　　"</f>
        <v>３１３　　　　　　　　　　　　　　　　　</v>
      </c>
      <c r="L1606" s="1"/>
    </row>
    <row r="1607" spans="1:12" ht="18" customHeight="1" x14ac:dyDescent="0.15">
      <c r="A1607" s="11">
        <v>3956</v>
      </c>
      <c r="B1607" s="11" t="s">
        <v>101</v>
      </c>
      <c r="C1607" s="11" t="s">
        <v>249</v>
      </c>
      <c r="D1607" s="11">
        <v>1</v>
      </c>
      <c r="E1607" s="11" t="s">
        <v>4</v>
      </c>
      <c r="F1607" s="12">
        <v>36565</v>
      </c>
      <c r="G1607" s="12">
        <v>36565</v>
      </c>
      <c r="H1607" s="11" t="str">
        <f t="shared" si="54"/>
        <v>平成4年12月5日</v>
      </c>
      <c r="I1607" s="22">
        <f t="shared" si="53"/>
        <v>33943</v>
      </c>
      <c r="J1607" s="1" t="str">
        <f>"00744413"</f>
        <v>00744413</v>
      </c>
      <c r="K1607" s="1" t="str">
        <f>"３１４　　　　　　　　　　　　　　　　　"</f>
        <v>３１４　　　　　　　　　　　　　　　　　</v>
      </c>
      <c r="L1607" s="1"/>
    </row>
    <row r="1608" spans="1:12" ht="18" customHeight="1" x14ac:dyDescent="0.15">
      <c r="A1608" s="11">
        <v>3957</v>
      </c>
      <c r="B1608" s="11" t="s">
        <v>101</v>
      </c>
      <c r="C1608" s="11" t="s">
        <v>249</v>
      </c>
      <c r="D1608" s="11">
        <v>1</v>
      </c>
      <c r="E1608" s="11" t="s">
        <v>4</v>
      </c>
      <c r="F1608" s="12">
        <v>36565</v>
      </c>
      <c r="G1608" s="12">
        <v>36565</v>
      </c>
      <c r="H1608" s="11" t="str">
        <f t="shared" si="54"/>
        <v>平成4年12月5日</v>
      </c>
      <c r="I1608" s="22">
        <f t="shared" si="53"/>
        <v>33943</v>
      </c>
      <c r="J1608" s="1" t="str">
        <f>"00744414"</f>
        <v>00744414</v>
      </c>
      <c r="K1608" s="1" t="str">
        <f>"３１５　　　　　　　　　　　　　　　　　"</f>
        <v>３１５　　　　　　　　　　　　　　　　　</v>
      </c>
      <c r="L1608" s="1"/>
    </row>
    <row r="1609" spans="1:12" ht="18" customHeight="1" x14ac:dyDescent="0.15">
      <c r="A1609" s="11">
        <v>3958</v>
      </c>
      <c r="B1609" s="11" t="s">
        <v>101</v>
      </c>
      <c r="C1609" s="11" t="s">
        <v>250</v>
      </c>
      <c r="D1609" s="11">
        <v>1</v>
      </c>
      <c r="E1609" s="11" t="s">
        <v>4</v>
      </c>
      <c r="F1609" s="12">
        <v>47174</v>
      </c>
      <c r="G1609" s="12">
        <v>47174</v>
      </c>
      <c r="H1609" s="11" t="str">
        <f t="shared" si="54"/>
        <v>平成4年12月5日</v>
      </c>
      <c r="I1609" s="22">
        <f t="shared" si="53"/>
        <v>33943</v>
      </c>
      <c r="J1609" s="1" t="str">
        <f>"00744416"</f>
        <v>00744416</v>
      </c>
      <c r="K1609" s="1" t="str">
        <f>"３１６　　　　　　　　　　　　　　　　　"</f>
        <v>３１６　　　　　　　　　　　　　　　　　</v>
      </c>
      <c r="L1609" s="1"/>
    </row>
    <row r="1610" spans="1:12" ht="18" customHeight="1" x14ac:dyDescent="0.15">
      <c r="A1610" s="11">
        <v>3959</v>
      </c>
      <c r="B1610" s="11" t="s">
        <v>101</v>
      </c>
      <c r="C1610" s="11" t="s">
        <v>250</v>
      </c>
      <c r="D1610" s="11">
        <v>1</v>
      </c>
      <c r="E1610" s="11" t="s">
        <v>4</v>
      </c>
      <c r="F1610" s="12">
        <v>47174</v>
      </c>
      <c r="G1610" s="12">
        <v>47174</v>
      </c>
      <c r="H1610" s="11" t="str">
        <f t="shared" si="54"/>
        <v>平成4年12月5日</v>
      </c>
      <c r="I1610" s="22">
        <f t="shared" si="53"/>
        <v>33943</v>
      </c>
      <c r="J1610" s="1" t="str">
        <f>"00744419"</f>
        <v>00744419</v>
      </c>
      <c r="K1610" s="1" t="str">
        <f>"３１７　　　　　　　　　　　　　　　　　"</f>
        <v>３１７　　　　　　　　　　　　　　　　　</v>
      </c>
      <c r="L1610" s="1"/>
    </row>
    <row r="1611" spans="1:12" ht="18" customHeight="1" x14ac:dyDescent="0.15">
      <c r="A1611" s="11">
        <v>3960</v>
      </c>
      <c r="B1611" s="11" t="s">
        <v>101</v>
      </c>
      <c r="C1611" s="11" t="s">
        <v>250</v>
      </c>
      <c r="D1611" s="11">
        <v>1</v>
      </c>
      <c r="E1611" s="11" t="s">
        <v>4</v>
      </c>
      <c r="F1611" s="12">
        <v>47174</v>
      </c>
      <c r="G1611" s="12">
        <v>47174</v>
      </c>
      <c r="H1611" s="11" t="str">
        <f t="shared" si="54"/>
        <v>平成4年12月5日</v>
      </c>
      <c r="I1611" s="22">
        <f t="shared" si="53"/>
        <v>33943</v>
      </c>
      <c r="J1611" s="1" t="str">
        <f>"00744421"</f>
        <v>00744421</v>
      </c>
      <c r="K1611" s="1" t="str">
        <f>"３１８　　　　　　　　　　　　　　　　　"</f>
        <v>３１８　　　　　　　　　　　　　　　　　</v>
      </c>
      <c r="L1611" s="1"/>
    </row>
    <row r="1612" spans="1:12" ht="18" customHeight="1" x14ac:dyDescent="0.15">
      <c r="A1612" s="11">
        <v>3961</v>
      </c>
      <c r="B1612" s="11" t="s">
        <v>101</v>
      </c>
      <c r="C1612" s="11" t="s">
        <v>250</v>
      </c>
      <c r="D1612" s="11">
        <v>1</v>
      </c>
      <c r="E1612" s="11" t="s">
        <v>4</v>
      </c>
      <c r="F1612" s="12">
        <v>47174</v>
      </c>
      <c r="G1612" s="12">
        <v>47174</v>
      </c>
      <c r="H1612" s="11" t="str">
        <f t="shared" si="54"/>
        <v>平成4年12月5日</v>
      </c>
      <c r="I1612" s="22">
        <f t="shared" si="53"/>
        <v>33943</v>
      </c>
      <c r="J1612" s="1" t="str">
        <f>"00744423"</f>
        <v>00744423</v>
      </c>
      <c r="K1612" s="1" t="str">
        <f>"３１９　　　　　　　　　　　　　　　　　"</f>
        <v>３１９　　　　　　　　　　　　　　　　　</v>
      </c>
      <c r="L1612" s="1"/>
    </row>
    <row r="1613" spans="1:12" ht="18" customHeight="1" x14ac:dyDescent="0.15">
      <c r="A1613" s="11">
        <v>3962</v>
      </c>
      <c r="B1613" s="11" t="s">
        <v>101</v>
      </c>
      <c r="C1613" s="11" t="s">
        <v>250</v>
      </c>
      <c r="D1613" s="11">
        <v>1</v>
      </c>
      <c r="E1613" s="11" t="s">
        <v>4</v>
      </c>
      <c r="F1613" s="12">
        <v>36565</v>
      </c>
      <c r="G1613" s="12">
        <v>36565</v>
      </c>
      <c r="H1613" s="11" t="str">
        <f t="shared" si="54"/>
        <v>平成4年12月5日</v>
      </c>
      <c r="I1613" s="22">
        <f t="shared" si="53"/>
        <v>33943</v>
      </c>
      <c r="J1613" s="1" t="str">
        <f>"00744425"</f>
        <v>00744425</v>
      </c>
      <c r="K1613" s="1" t="str">
        <f>"３２０　　　　　　　　　　　　　　　　　"</f>
        <v>３２０　　　　　　　　　　　　　　　　　</v>
      </c>
      <c r="L1613" s="1"/>
    </row>
    <row r="1614" spans="1:12" ht="18" customHeight="1" x14ac:dyDescent="0.15">
      <c r="A1614" s="11">
        <v>3963</v>
      </c>
      <c r="B1614" s="11" t="s">
        <v>101</v>
      </c>
      <c r="C1614" s="11" t="s">
        <v>250</v>
      </c>
      <c r="D1614" s="11">
        <v>1</v>
      </c>
      <c r="E1614" s="11" t="s">
        <v>4</v>
      </c>
      <c r="F1614" s="12">
        <v>36565</v>
      </c>
      <c r="G1614" s="12">
        <v>36565</v>
      </c>
      <c r="H1614" s="11" t="str">
        <f t="shared" si="54"/>
        <v>平成4年12月5日</v>
      </c>
      <c r="I1614" s="22">
        <f t="shared" si="53"/>
        <v>33943</v>
      </c>
      <c r="J1614" s="1" t="str">
        <f>"00744427"</f>
        <v>00744427</v>
      </c>
      <c r="K1614" s="1" t="str">
        <f>"３２１　　　　　　　　　　　　　　　　　"</f>
        <v>３２１　　　　　　　　　　　　　　　　　</v>
      </c>
      <c r="L1614" s="1"/>
    </row>
    <row r="1615" spans="1:12" ht="18" customHeight="1" x14ac:dyDescent="0.15">
      <c r="A1615" s="11">
        <v>3964</v>
      </c>
      <c r="B1615" s="11" t="s">
        <v>101</v>
      </c>
      <c r="C1615" s="11" t="s">
        <v>250</v>
      </c>
      <c r="D1615" s="11">
        <v>1</v>
      </c>
      <c r="E1615" s="11" t="s">
        <v>4</v>
      </c>
      <c r="F1615" s="12">
        <v>36565</v>
      </c>
      <c r="G1615" s="12">
        <v>36565</v>
      </c>
      <c r="H1615" s="11" t="str">
        <f t="shared" si="54"/>
        <v>平成4年12月5日</v>
      </c>
      <c r="I1615" s="22">
        <f t="shared" si="53"/>
        <v>33943</v>
      </c>
      <c r="J1615" s="1" t="str">
        <f>"00744428"</f>
        <v>00744428</v>
      </c>
      <c r="K1615" s="1" t="str">
        <f>"３２２　　　　　　　　　　　　　　　　　"</f>
        <v>３２２　　　　　　　　　　　　　　　　　</v>
      </c>
      <c r="L1615" s="1"/>
    </row>
    <row r="1616" spans="1:12" ht="18" customHeight="1" x14ac:dyDescent="0.15">
      <c r="A1616" s="11">
        <v>3965</v>
      </c>
      <c r="B1616" s="11" t="s">
        <v>101</v>
      </c>
      <c r="C1616" s="11" t="s">
        <v>250</v>
      </c>
      <c r="D1616" s="11">
        <v>1</v>
      </c>
      <c r="E1616" s="11" t="s">
        <v>4</v>
      </c>
      <c r="F1616" s="12">
        <v>36565</v>
      </c>
      <c r="G1616" s="12">
        <v>36565</v>
      </c>
      <c r="H1616" s="11" t="str">
        <f t="shared" si="54"/>
        <v>平成4年12月5日</v>
      </c>
      <c r="I1616" s="22">
        <f t="shared" si="53"/>
        <v>33943</v>
      </c>
      <c r="J1616" s="1" t="str">
        <f>"00744430"</f>
        <v>00744430</v>
      </c>
      <c r="K1616" s="1" t="str">
        <f>"３２３　　　　　　　　　　　　　　　　　"</f>
        <v>３２３　　　　　　　　　　　　　　　　　</v>
      </c>
      <c r="L1616" s="1"/>
    </row>
    <row r="1617" spans="1:12" ht="18" customHeight="1" x14ac:dyDescent="0.15">
      <c r="A1617" s="11">
        <v>3966</v>
      </c>
      <c r="B1617" s="11" t="s">
        <v>101</v>
      </c>
      <c r="C1617" s="11" t="s">
        <v>251</v>
      </c>
      <c r="D1617" s="11">
        <v>1</v>
      </c>
      <c r="E1617" s="11" t="s">
        <v>4</v>
      </c>
      <c r="F1617" s="12">
        <v>43878</v>
      </c>
      <c r="G1617" s="12">
        <v>43878</v>
      </c>
      <c r="H1617" s="11" t="str">
        <f t="shared" si="54"/>
        <v>平成4年12月5日</v>
      </c>
      <c r="I1617" s="22">
        <f t="shared" si="53"/>
        <v>33943</v>
      </c>
      <c r="J1617" s="1" t="str">
        <f>"00744436"</f>
        <v>00744436</v>
      </c>
      <c r="K1617" s="1" t="str">
        <f>"３２６　　　　　　　　　　　　　　　　　"</f>
        <v>３２６　　　　　　　　　　　　　　　　　</v>
      </c>
      <c r="L1617" s="1"/>
    </row>
    <row r="1618" spans="1:12" ht="18" customHeight="1" x14ac:dyDescent="0.15">
      <c r="A1618" s="11">
        <v>3967</v>
      </c>
      <c r="B1618" s="11" t="s">
        <v>101</v>
      </c>
      <c r="C1618" s="11" t="s">
        <v>251</v>
      </c>
      <c r="D1618" s="11">
        <v>1</v>
      </c>
      <c r="E1618" s="11" t="s">
        <v>4</v>
      </c>
      <c r="F1618" s="12">
        <v>43878</v>
      </c>
      <c r="G1618" s="12">
        <v>43878</v>
      </c>
      <c r="H1618" s="11" t="str">
        <f t="shared" si="54"/>
        <v>平成4年12月5日</v>
      </c>
      <c r="I1618" s="22">
        <f t="shared" ref="I1618:I1681" si="55">DATEVALUE(H1618)</f>
        <v>33943</v>
      </c>
      <c r="J1618" s="1" t="str">
        <f>"00744438"</f>
        <v>00744438</v>
      </c>
      <c r="K1618" s="1" t="str">
        <f>"３２７　　　　　　　　　　　　　　　　　"</f>
        <v>３２７　　　　　　　　　　　　　　　　　</v>
      </c>
      <c r="L1618" s="1"/>
    </row>
    <row r="1619" spans="1:12" ht="18" customHeight="1" x14ac:dyDescent="0.15">
      <c r="A1619" s="11">
        <v>3968</v>
      </c>
      <c r="B1619" s="11" t="s">
        <v>101</v>
      </c>
      <c r="C1619" s="11" t="s">
        <v>251</v>
      </c>
      <c r="D1619" s="11">
        <v>1</v>
      </c>
      <c r="E1619" s="11" t="s">
        <v>4</v>
      </c>
      <c r="F1619" s="12">
        <v>43878</v>
      </c>
      <c r="G1619" s="12">
        <v>43878</v>
      </c>
      <c r="H1619" s="11" t="str">
        <f t="shared" si="54"/>
        <v>平成4年12月5日</v>
      </c>
      <c r="I1619" s="22">
        <f t="shared" si="55"/>
        <v>33943</v>
      </c>
      <c r="J1619" s="1" t="str">
        <f>"00744441"</f>
        <v>00744441</v>
      </c>
      <c r="K1619" s="1" t="str">
        <f>"３２８　　　　　　　　　　　　　　　　　"</f>
        <v>３２８　　　　　　　　　　　　　　　　　</v>
      </c>
      <c r="L1619" s="1"/>
    </row>
    <row r="1620" spans="1:12" ht="18" customHeight="1" x14ac:dyDescent="0.15">
      <c r="A1620" s="11">
        <v>3969</v>
      </c>
      <c r="B1620" s="11" t="s">
        <v>101</v>
      </c>
      <c r="C1620" s="11" t="s">
        <v>251</v>
      </c>
      <c r="D1620" s="11">
        <v>1</v>
      </c>
      <c r="E1620" s="11" t="s">
        <v>4</v>
      </c>
      <c r="F1620" s="12">
        <v>43878</v>
      </c>
      <c r="G1620" s="12">
        <v>43878</v>
      </c>
      <c r="H1620" s="11" t="str">
        <f t="shared" si="54"/>
        <v>平成4年12月5日</v>
      </c>
      <c r="I1620" s="22">
        <f t="shared" si="55"/>
        <v>33943</v>
      </c>
      <c r="J1620" s="1" t="str">
        <f>"00744442"</f>
        <v>00744442</v>
      </c>
      <c r="K1620" s="1" t="str">
        <f>"３２９　　　　　　　　　　　　　　　　　"</f>
        <v>３２９　　　　　　　　　　　　　　　　　</v>
      </c>
      <c r="L1620" s="1"/>
    </row>
    <row r="1621" spans="1:12" ht="18" customHeight="1" x14ac:dyDescent="0.15">
      <c r="A1621" s="11">
        <v>3970</v>
      </c>
      <c r="B1621" s="11" t="s">
        <v>101</v>
      </c>
      <c r="C1621" s="11" t="s">
        <v>251</v>
      </c>
      <c r="D1621" s="11">
        <v>1</v>
      </c>
      <c r="E1621" s="11" t="s">
        <v>4</v>
      </c>
      <c r="F1621" s="12">
        <v>43878</v>
      </c>
      <c r="G1621" s="12">
        <v>43878</v>
      </c>
      <c r="H1621" s="11" t="str">
        <f t="shared" si="54"/>
        <v>平成4年12月5日</v>
      </c>
      <c r="I1621" s="22">
        <f t="shared" si="55"/>
        <v>33943</v>
      </c>
      <c r="J1621" s="1" t="str">
        <f>"00744444"</f>
        <v>00744444</v>
      </c>
      <c r="K1621" s="1" t="str">
        <f>"３３０　　　　　　　　　　　　　　　　　"</f>
        <v>３３０　　　　　　　　　　　　　　　　　</v>
      </c>
      <c r="L1621" s="1"/>
    </row>
    <row r="1622" spans="1:12" ht="18" customHeight="1" x14ac:dyDescent="0.15">
      <c r="A1622" s="11">
        <v>3971</v>
      </c>
      <c r="B1622" s="11" t="s">
        <v>101</v>
      </c>
      <c r="C1622" s="11" t="s">
        <v>251</v>
      </c>
      <c r="D1622" s="11">
        <v>1</v>
      </c>
      <c r="E1622" s="11" t="s">
        <v>4</v>
      </c>
      <c r="F1622" s="12">
        <v>43878</v>
      </c>
      <c r="G1622" s="12">
        <v>43878</v>
      </c>
      <c r="H1622" s="11" t="str">
        <f t="shared" si="54"/>
        <v>平成4年12月5日</v>
      </c>
      <c r="I1622" s="22">
        <f t="shared" si="55"/>
        <v>33943</v>
      </c>
      <c r="J1622" s="1" t="str">
        <f>"00744447"</f>
        <v>00744447</v>
      </c>
      <c r="K1622" s="1" t="str">
        <f>"３３１　　　　　　　　　　　　　　　　　"</f>
        <v>３３１　　　　　　　　　　　　　　　　　</v>
      </c>
      <c r="L1622" s="1"/>
    </row>
    <row r="1623" spans="1:12" ht="18" customHeight="1" x14ac:dyDescent="0.15">
      <c r="A1623" s="11">
        <v>3988</v>
      </c>
      <c r="B1623" s="11" t="s">
        <v>109</v>
      </c>
      <c r="C1623" s="11" t="s">
        <v>260</v>
      </c>
      <c r="D1623" s="11">
        <v>1</v>
      </c>
      <c r="E1623" s="11" t="s">
        <v>4</v>
      </c>
      <c r="F1623" s="12">
        <v>29600</v>
      </c>
      <c r="G1623" s="12">
        <v>29600</v>
      </c>
      <c r="H1623" s="11" t="str">
        <f t="shared" si="54"/>
        <v>平成4年12月5日</v>
      </c>
      <c r="I1623" s="22">
        <f t="shared" si="55"/>
        <v>33943</v>
      </c>
      <c r="J1623" s="1" t="str">
        <f>"00744623"</f>
        <v>00744623</v>
      </c>
      <c r="K1623" s="1" t="str">
        <f>"３０７　　　　　　　　　　　　　　　　　"</f>
        <v>３０７　　　　　　　　　　　　　　　　　</v>
      </c>
      <c r="L1623" s="1"/>
    </row>
    <row r="1624" spans="1:12" ht="18" customHeight="1" x14ac:dyDescent="0.15">
      <c r="A1624" s="11">
        <v>3989</v>
      </c>
      <c r="B1624" s="11" t="s">
        <v>109</v>
      </c>
      <c r="C1624" s="11" t="s">
        <v>261</v>
      </c>
      <c r="D1624" s="11">
        <v>1</v>
      </c>
      <c r="E1624" s="11" t="s">
        <v>4</v>
      </c>
      <c r="F1624" s="12">
        <v>28325</v>
      </c>
      <c r="G1624" s="12">
        <v>28325</v>
      </c>
      <c r="H1624" s="11" t="str">
        <f t="shared" si="54"/>
        <v>平成4年12月5日</v>
      </c>
      <c r="I1624" s="22">
        <f t="shared" si="55"/>
        <v>33943</v>
      </c>
      <c r="J1624" s="1" t="str">
        <f>"00744625"</f>
        <v>00744625</v>
      </c>
      <c r="K1624" s="1" t="str">
        <f>"３０９　　　　　　　　　　　　　　　　　"</f>
        <v>３０９　　　　　　　　　　　　　　　　　</v>
      </c>
      <c r="L1624" s="1"/>
    </row>
    <row r="1625" spans="1:12" ht="18" customHeight="1" x14ac:dyDescent="0.15">
      <c r="A1625" s="11">
        <v>3990</v>
      </c>
      <c r="B1625" s="11" t="s">
        <v>109</v>
      </c>
      <c r="C1625" s="11" t="s">
        <v>261</v>
      </c>
      <c r="D1625" s="11">
        <v>1</v>
      </c>
      <c r="E1625" s="11" t="s">
        <v>4</v>
      </c>
      <c r="F1625" s="12">
        <v>28325</v>
      </c>
      <c r="G1625" s="12">
        <v>28325</v>
      </c>
      <c r="H1625" s="11" t="str">
        <f t="shared" si="54"/>
        <v>平成4年12月5日</v>
      </c>
      <c r="I1625" s="22">
        <f t="shared" si="55"/>
        <v>33943</v>
      </c>
      <c r="J1625" s="1" t="str">
        <f>"00744627"</f>
        <v>00744627</v>
      </c>
      <c r="K1625" s="1" t="str">
        <f>"３１０　　　　　　　　　　　　　　　　　"</f>
        <v>３１０　　　　　　　　　　　　　　　　　</v>
      </c>
      <c r="L1625" s="1"/>
    </row>
    <row r="1626" spans="1:12" ht="18" customHeight="1" x14ac:dyDescent="0.15">
      <c r="A1626" s="11">
        <v>3991</v>
      </c>
      <c r="B1626" s="11" t="s">
        <v>109</v>
      </c>
      <c r="C1626" s="11" t="s">
        <v>261</v>
      </c>
      <c r="D1626" s="11">
        <v>1</v>
      </c>
      <c r="E1626" s="11" t="s">
        <v>4</v>
      </c>
      <c r="F1626" s="12">
        <v>34711</v>
      </c>
      <c r="G1626" s="12">
        <v>34711</v>
      </c>
      <c r="H1626" s="11" t="str">
        <f t="shared" si="54"/>
        <v>平成4年12月5日</v>
      </c>
      <c r="I1626" s="22">
        <f t="shared" si="55"/>
        <v>33943</v>
      </c>
      <c r="J1626" s="1" t="str">
        <f>"00744629"</f>
        <v>00744629</v>
      </c>
      <c r="K1626" s="1" t="str">
        <f>"３１１　　　　　　　　　　　　　　　　　"</f>
        <v>３１１　　　　　　　　　　　　　　　　　</v>
      </c>
      <c r="L1626" s="1"/>
    </row>
    <row r="1627" spans="1:12" ht="18" customHeight="1" x14ac:dyDescent="0.15">
      <c r="A1627" s="11">
        <v>3992</v>
      </c>
      <c r="B1627" s="11" t="s">
        <v>109</v>
      </c>
      <c r="C1627" s="11" t="s">
        <v>262</v>
      </c>
      <c r="D1627" s="11">
        <v>1</v>
      </c>
      <c r="E1627" s="11" t="s">
        <v>4</v>
      </c>
      <c r="F1627" s="12">
        <v>166860</v>
      </c>
      <c r="G1627" s="12">
        <v>166860</v>
      </c>
      <c r="H1627" s="11" t="str">
        <f t="shared" si="54"/>
        <v>平成4年12月5日</v>
      </c>
      <c r="I1627" s="22">
        <f t="shared" si="55"/>
        <v>33943</v>
      </c>
      <c r="J1627" s="1" t="str">
        <f>"00744635"</f>
        <v>00744635</v>
      </c>
      <c r="K1627" s="1" t="str">
        <f>"３１４　　　　　　　　　　　　　　　　　"</f>
        <v>３１４　　　　　　　　　　　　　　　　　</v>
      </c>
      <c r="L1627" s="1"/>
    </row>
    <row r="1628" spans="1:12" ht="18" customHeight="1" x14ac:dyDescent="0.15">
      <c r="A1628" s="11">
        <v>4001</v>
      </c>
      <c r="B1628" s="11" t="s">
        <v>55</v>
      </c>
      <c r="C1628" s="11" t="s">
        <v>267</v>
      </c>
      <c r="D1628" s="11">
        <v>1</v>
      </c>
      <c r="E1628" s="11" t="s">
        <v>4</v>
      </c>
      <c r="F1628" s="12">
        <v>30642</v>
      </c>
      <c r="G1628" s="12">
        <v>30642</v>
      </c>
      <c r="H1628" s="11" t="str">
        <f t="shared" si="54"/>
        <v>平成4年12月5日</v>
      </c>
      <c r="I1628" s="22">
        <f t="shared" si="55"/>
        <v>33943</v>
      </c>
      <c r="J1628" s="1" t="str">
        <f>"00744653"</f>
        <v>00744653</v>
      </c>
      <c r="K1628" s="1" t="str">
        <f>"３０２　　　　　　　　　　　　　　　　　"</f>
        <v>３０２　　　　　　　　　　　　　　　　　</v>
      </c>
      <c r="L1628" s="1"/>
    </row>
    <row r="1629" spans="1:12" ht="18" customHeight="1" x14ac:dyDescent="0.15">
      <c r="A1629" s="11">
        <v>4002</v>
      </c>
      <c r="B1629" s="11" t="s">
        <v>55</v>
      </c>
      <c r="C1629" s="11" t="s">
        <v>267</v>
      </c>
      <c r="D1629" s="11">
        <v>1</v>
      </c>
      <c r="E1629" s="11" t="s">
        <v>4</v>
      </c>
      <c r="F1629" s="12">
        <v>30642</v>
      </c>
      <c r="G1629" s="12">
        <v>30642</v>
      </c>
      <c r="H1629" s="11" t="str">
        <f t="shared" si="54"/>
        <v>平成4年12月5日</v>
      </c>
      <c r="I1629" s="22">
        <f t="shared" si="55"/>
        <v>33943</v>
      </c>
      <c r="J1629" s="1" t="str">
        <f>"00744655"</f>
        <v>00744655</v>
      </c>
      <c r="K1629" s="1" t="str">
        <f>"３０３　　　　　　　　　　　　　　　　　"</f>
        <v>３０３　　　　　　　　　　　　　　　　　</v>
      </c>
      <c r="L1629" s="1"/>
    </row>
    <row r="1630" spans="1:12" ht="18" customHeight="1" x14ac:dyDescent="0.15">
      <c r="A1630" s="11">
        <v>4003</v>
      </c>
      <c r="B1630" s="11" t="s">
        <v>55</v>
      </c>
      <c r="C1630" s="11" t="s">
        <v>267</v>
      </c>
      <c r="D1630" s="11">
        <v>1</v>
      </c>
      <c r="E1630" s="11" t="s">
        <v>4</v>
      </c>
      <c r="F1630" s="12">
        <v>30642</v>
      </c>
      <c r="G1630" s="12">
        <v>30642</v>
      </c>
      <c r="H1630" s="11" t="str">
        <f t="shared" si="54"/>
        <v>平成4年12月5日</v>
      </c>
      <c r="I1630" s="22">
        <f t="shared" si="55"/>
        <v>33943</v>
      </c>
      <c r="J1630" s="1" t="str">
        <f>"00744657"</f>
        <v>00744657</v>
      </c>
      <c r="K1630" s="1" t="str">
        <f>"３０４　　　　　　　　　　　　　　　　　"</f>
        <v>３０４　　　　　　　　　　　　　　　　　</v>
      </c>
      <c r="L1630" s="1"/>
    </row>
    <row r="1631" spans="1:12" ht="18" customHeight="1" x14ac:dyDescent="0.15">
      <c r="A1631" s="11">
        <v>4004</v>
      </c>
      <c r="B1631" s="11" t="s">
        <v>55</v>
      </c>
      <c r="C1631" s="11" t="s">
        <v>267</v>
      </c>
      <c r="D1631" s="11">
        <v>1</v>
      </c>
      <c r="E1631" s="11" t="s">
        <v>4</v>
      </c>
      <c r="F1631" s="12">
        <v>30642</v>
      </c>
      <c r="G1631" s="12">
        <v>30642</v>
      </c>
      <c r="H1631" s="11" t="str">
        <f t="shared" si="54"/>
        <v>平成4年12月5日</v>
      </c>
      <c r="I1631" s="22">
        <f t="shared" si="55"/>
        <v>33943</v>
      </c>
      <c r="J1631" s="1" t="str">
        <f>"00744659"</f>
        <v>00744659</v>
      </c>
      <c r="K1631" s="1" t="str">
        <f>"３０５　　　　　　　　　　　　　　　　　"</f>
        <v>３０５　　　　　　　　　　　　　　　　　</v>
      </c>
      <c r="L1631" s="1"/>
    </row>
    <row r="1632" spans="1:12" ht="18" customHeight="1" x14ac:dyDescent="0.15">
      <c r="A1632" s="11">
        <v>4005</v>
      </c>
      <c r="B1632" s="11" t="s">
        <v>55</v>
      </c>
      <c r="C1632" s="11" t="s">
        <v>267</v>
      </c>
      <c r="D1632" s="11">
        <v>1</v>
      </c>
      <c r="E1632" s="11" t="s">
        <v>4</v>
      </c>
      <c r="F1632" s="12">
        <v>30642</v>
      </c>
      <c r="G1632" s="12">
        <v>30642</v>
      </c>
      <c r="H1632" s="11" t="str">
        <f t="shared" si="54"/>
        <v>平成4年12月5日</v>
      </c>
      <c r="I1632" s="22">
        <f t="shared" si="55"/>
        <v>33943</v>
      </c>
      <c r="J1632" s="1" t="str">
        <f>"00744661"</f>
        <v>00744661</v>
      </c>
      <c r="K1632" s="1" t="str">
        <f>"３０６　　　　　　　　　　　　　　　　　"</f>
        <v>３０６　　　　　　　　　　　　　　　　　</v>
      </c>
      <c r="L1632" s="1"/>
    </row>
    <row r="1633" spans="1:12" ht="18" customHeight="1" x14ac:dyDescent="0.15">
      <c r="A1633" s="11">
        <v>4006</v>
      </c>
      <c r="B1633" s="11" t="s">
        <v>55</v>
      </c>
      <c r="C1633" s="11" t="s">
        <v>267</v>
      </c>
      <c r="D1633" s="11">
        <v>1</v>
      </c>
      <c r="E1633" s="11" t="s">
        <v>4</v>
      </c>
      <c r="F1633" s="12">
        <v>30642</v>
      </c>
      <c r="G1633" s="12">
        <v>30642</v>
      </c>
      <c r="H1633" s="11" t="str">
        <f t="shared" si="54"/>
        <v>平成4年12月5日</v>
      </c>
      <c r="I1633" s="22">
        <f t="shared" si="55"/>
        <v>33943</v>
      </c>
      <c r="J1633" s="1" t="str">
        <f>"00744663"</f>
        <v>00744663</v>
      </c>
      <c r="K1633" s="1" t="str">
        <f>"３０７　　　　　　　　　　　　　　　　　"</f>
        <v>３０７　　　　　　　　　　　　　　　　　</v>
      </c>
      <c r="L1633" s="1"/>
    </row>
    <row r="1634" spans="1:12" ht="18" customHeight="1" x14ac:dyDescent="0.15">
      <c r="A1634" s="11">
        <v>4007</v>
      </c>
      <c r="B1634" s="11" t="s">
        <v>55</v>
      </c>
      <c r="C1634" s="11" t="s">
        <v>267</v>
      </c>
      <c r="D1634" s="11">
        <v>1</v>
      </c>
      <c r="E1634" s="11" t="s">
        <v>4</v>
      </c>
      <c r="F1634" s="12">
        <v>30642</v>
      </c>
      <c r="G1634" s="12">
        <v>30642</v>
      </c>
      <c r="H1634" s="11" t="str">
        <f t="shared" si="54"/>
        <v>平成4年12月5日</v>
      </c>
      <c r="I1634" s="22">
        <f t="shared" si="55"/>
        <v>33943</v>
      </c>
      <c r="J1634" s="1" t="str">
        <f>"00744665"</f>
        <v>00744665</v>
      </c>
      <c r="K1634" s="1" t="str">
        <f>"３０８　　　　　　　　　　　　　　　　　"</f>
        <v>３０８　　　　　　　　　　　　　　　　　</v>
      </c>
      <c r="L1634" s="1"/>
    </row>
    <row r="1635" spans="1:12" ht="18" customHeight="1" x14ac:dyDescent="0.15">
      <c r="A1635" s="11">
        <v>4008</v>
      </c>
      <c r="B1635" s="11" t="s">
        <v>55</v>
      </c>
      <c r="C1635" s="11" t="s">
        <v>267</v>
      </c>
      <c r="D1635" s="11">
        <v>1</v>
      </c>
      <c r="E1635" s="11" t="s">
        <v>4</v>
      </c>
      <c r="F1635" s="12">
        <v>30642</v>
      </c>
      <c r="G1635" s="12">
        <v>30642</v>
      </c>
      <c r="H1635" s="11" t="str">
        <f t="shared" si="54"/>
        <v>平成4年12月5日</v>
      </c>
      <c r="I1635" s="22">
        <f t="shared" si="55"/>
        <v>33943</v>
      </c>
      <c r="J1635" s="1" t="str">
        <f>"00744667"</f>
        <v>00744667</v>
      </c>
      <c r="K1635" s="1" t="str">
        <f>"３０９　　　　　　　　　　　　　　　　　"</f>
        <v>３０９　　　　　　　　　　　　　　　　　</v>
      </c>
      <c r="L1635" s="1"/>
    </row>
    <row r="1636" spans="1:12" ht="18" customHeight="1" x14ac:dyDescent="0.15">
      <c r="A1636" s="11">
        <v>4013</v>
      </c>
      <c r="B1636" s="11" t="s">
        <v>56</v>
      </c>
      <c r="C1636" s="11" t="s">
        <v>272</v>
      </c>
      <c r="D1636" s="11">
        <v>1</v>
      </c>
      <c r="E1636" s="11" t="s">
        <v>4</v>
      </c>
      <c r="F1636" s="12">
        <v>59122</v>
      </c>
      <c r="G1636" s="12">
        <v>59122</v>
      </c>
      <c r="H1636" s="11" t="str">
        <f t="shared" si="54"/>
        <v>平成4年12月5日</v>
      </c>
      <c r="I1636" s="22">
        <f t="shared" si="55"/>
        <v>33943</v>
      </c>
      <c r="J1636" s="1" t="str">
        <f>"00744679"</f>
        <v>00744679</v>
      </c>
      <c r="K1636" s="1" t="str">
        <f>"３０１　　　　　　　　　　　　　　　　　"</f>
        <v>３０１　　　　　　　　　　　　　　　　　</v>
      </c>
      <c r="L1636" s="1"/>
    </row>
    <row r="1637" spans="1:12" ht="18" customHeight="1" x14ac:dyDescent="0.15">
      <c r="A1637" s="11">
        <v>4014</v>
      </c>
      <c r="B1637" s="11" t="s">
        <v>56</v>
      </c>
      <c r="C1637" s="11" t="s">
        <v>272</v>
      </c>
      <c r="D1637" s="11">
        <v>1</v>
      </c>
      <c r="E1637" s="11" t="s">
        <v>4</v>
      </c>
      <c r="F1637" s="12">
        <v>66538</v>
      </c>
      <c r="G1637" s="12">
        <v>66538</v>
      </c>
      <c r="H1637" s="11" t="str">
        <f t="shared" si="54"/>
        <v>平成4年12月5日</v>
      </c>
      <c r="I1637" s="22">
        <f t="shared" si="55"/>
        <v>33943</v>
      </c>
      <c r="J1637" s="1" t="str">
        <f>"00744681"</f>
        <v>00744681</v>
      </c>
      <c r="K1637" s="1" t="str">
        <f>"３０２　　　　　　　　　　　　　　　　　"</f>
        <v>３０２　　　　　　　　　　　　　　　　　</v>
      </c>
      <c r="L1637" s="1"/>
    </row>
    <row r="1638" spans="1:12" ht="18" customHeight="1" x14ac:dyDescent="0.15">
      <c r="A1638" s="11">
        <v>4015</v>
      </c>
      <c r="B1638" s="11" t="s">
        <v>56</v>
      </c>
      <c r="C1638" s="11" t="s">
        <v>273</v>
      </c>
      <c r="D1638" s="11">
        <v>1</v>
      </c>
      <c r="E1638" s="11" t="s">
        <v>4</v>
      </c>
      <c r="F1638" s="12">
        <v>30282</v>
      </c>
      <c r="G1638" s="12">
        <v>30282</v>
      </c>
      <c r="H1638" s="11" t="str">
        <f t="shared" si="54"/>
        <v>平成4年12月5日</v>
      </c>
      <c r="I1638" s="22">
        <f t="shared" si="55"/>
        <v>33943</v>
      </c>
      <c r="J1638" s="1" t="str">
        <f>"00744683"</f>
        <v>00744683</v>
      </c>
      <c r="K1638" s="1" t="str">
        <f>"３０３　　　　　　　　　　　　　　　　　"</f>
        <v>３０３　　　　　　　　　　　　　　　　　</v>
      </c>
      <c r="L1638" s="1"/>
    </row>
    <row r="1639" spans="1:12" ht="18" customHeight="1" x14ac:dyDescent="0.15">
      <c r="A1639" s="11">
        <v>4016</v>
      </c>
      <c r="B1639" s="11" t="s">
        <v>56</v>
      </c>
      <c r="C1639" s="11" t="s">
        <v>273</v>
      </c>
      <c r="D1639" s="11">
        <v>1</v>
      </c>
      <c r="E1639" s="11" t="s">
        <v>4</v>
      </c>
      <c r="F1639" s="12">
        <v>30282</v>
      </c>
      <c r="G1639" s="12">
        <v>30282</v>
      </c>
      <c r="H1639" s="11" t="str">
        <f t="shared" si="54"/>
        <v>平成4年12月5日</v>
      </c>
      <c r="I1639" s="22">
        <f t="shared" si="55"/>
        <v>33943</v>
      </c>
      <c r="J1639" s="1" t="str">
        <f>"00744685"</f>
        <v>00744685</v>
      </c>
      <c r="K1639" s="1" t="str">
        <f>"３０４　　　　　　　　　　　　　　　　　"</f>
        <v>３０４　　　　　　　　　　　　　　　　　</v>
      </c>
      <c r="L1639" s="1"/>
    </row>
    <row r="1640" spans="1:12" ht="18" customHeight="1" x14ac:dyDescent="0.15">
      <c r="A1640" s="11">
        <v>4017</v>
      </c>
      <c r="B1640" s="11" t="s">
        <v>56</v>
      </c>
      <c r="C1640" s="11" t="s">
        <v>273</v>
      </c>
      <c r="D1640" s="11">
        <v>1</v>
      </c>
      <c r="E1640" s="11" t="s">
        <v>4</v>
      </c>
      <c r="F1640" s="12">
        <v>30282</v>
      </c>
      <c r="G1640" s="12">
        <v>30282</v>
      </c>
      <c r="H1640" s="11" t="str">
        <f t="shared" si="54"/>
        <v>平成4年12月5日</v>
      </c>
      <c r="I1640" s="22">
        <f t="shared" si="55"/>
        <v>33943</v>
      </c>
      <c r="J1640" s="1" t="str">
        <f>"00744687"</f>
        <v>00744687</v>
      </c>
      <c r="K1640" s="1" t="str">
        <f>"３０６　　　　　　　　　　　　　　　　　"</f>
        <v>３０６　　　　　　　　　　　　　　　　　</v>
      </c>
      <c r="L1640" s="1"/>
    </row>
    <row r="1641" spans="1:12" ht="18" customHeight="1" x14ac:dyDescent="0.15">
      <c r="A1641" s="11">
        <v>4018</v>
      </c>
      <c r="B1641" s="11" t="s">
        <v>56</v>
      </c>
      <c r="C1641" s="11" t="s">
        <v>272</v>
      </c>
      <c r="D1641" s="11">
        <v>1</v>
      </c>
      <c r="E1641" s="11" t="s">
        <v>4</v>
      </c>
      <c r="F1641" s="12">
        <v>50717</v>
      </c>
      <c r="G1641" s="12">
        <v>50717</v>
      </c>
      <c r="H1641" s="11" t="str">
        <f t="shared" si="54"/>
        <v>平成4年12月5日</v>
      </c>
      <c r="I1641" s="22">
        <f t="shared" si="55"/>
        <v>33943</v>
      </c>
      <c r="J1641" s="1" t="str">
        <f>"00744691"</f>
        <v>00744691</v>
      </c>
      <c r="K1641" s="1" t="str">
        <f>"３０８　　　　　　　　　　　　　　　　　"</f>
        <v>３０８　　　　　　　　　　　　　　　　　</v>
      </c>
      <c r="L1641" s="1"/>
    </row>
    <row r="1642" spans="1:12" ht="18" customHeight="1" x14ac:dyDescent="0.15">
      <c r="A1642" s="11">
        <v>4019</v>
      </c>
      <c r="B1642" s="11" t="s">
        <v>56</v>
      </c>
      <c r="C1642" s="11" t="s">
        <v>272</v>
      </c>
      <c r="D1642" s="11">
        <v>1</v>
      </c>
      <c r="E1642" s="11" t="s">
        <v>4</v>
      </c>
      <c r="F1642" s="12">
        <v>50717</v>
      </c>
      <c r="G1642" s="12">
        <v>50717</v>
      </c>
      <c r="H1642" s="11" t="str">
        <f t="shared" si="54"/>
        <v>平成4年12月5日</v>
      </c>
      <c r="I1642" s="22">
        <f t="shared" si="55"/>
        <v>33943</v>
      </c>
      <c r="J1642" s="1" t="str">
        <f>"00744693"</f>
        <v>00744693</v>
      </c>
      <c r="K1642" s="1" t="str">
        <f>"３０９　　　　　　　　　　　　　　　　　"</f>
        <v>３０９　　　　　　　　　　　　　　　　　</v>
      </c>
      <c r="L1642" s="1"/>
    </row>
    <row r="1643" spans="1:12" ht="18" customHeight="1" x14ac:dyDescent="0.15">
      <c r="A1643" s="11">
        <v>4020</v>
      </c>
      <c r="B1643" s="11" t="s">
        <v>56</v>
      </c>
      <c r="C1643" s="11" t="s">
        <v>272</v>
      </c>
      <c r="D1643" s="11">
        <v>1</v>
      </c>
      <c r="E1643" s="11" t="s">
        <v>4</v>
      </c>
      <c r="F1643" s="12">
        <v>50717</v>
      </c>
      <c r="G1643" s="12">
        <v>50717</v>
      </c>
      <c r="H1643" s="11" t="str">
        <f t="shared" si="54"/>
        <v>平成4年12月5日</v>
      </c>
      <c r="I1643" s="22">
        <f t="shared" si="55"/>
        <v>33943</v>
      </c>
      <c r="J1643" s="1" t="str">
        <f>"00744695"</f>
        <v>00744695</v>
      </c>
      <c r="K1643" s="1" t="str">
        <f>"３１０　　　　　　　　　　　　　　　　　"</f>
        <v>３１０　　　　　　　　　　　　　　　　　</v>
      </c>
      <c r="L1643" s="1"/>
    </row>
    <row r="1644" spans="1:12" ht="18" customHeight="1" x14ac:dyDescent="0.15">
      <c r="A1644" s="11">
        <v>4021</v>
      </c>
      <c r="B1644" s="11" t="s">
        <v>56</v>
      </c>
      <c r="C1644" s="11" t="s">
        <v>272</v>
      </c>
      <c r="D1644" s="11">
        <v>1</v>
      </c>
      <c r="E1644" s="11" t="s">
        <v>4</v>
      </c>
      <c r="F1644" s="12">
        <v>50717</v>
      </c>
      <c r="G1644" s="12">
        <v>50717</v>
      </c>
      <c r="H1644" s="11" t="str">
        <f t="shared" si="54"/>
        <v>平成4年12月5日</v>
      </c>
      <c r="I1644" s="22">
        <f t="shared" si="55"/>
        <v>33943</v>
      </c>
      <c r="J1644" s="1" t="str">
        <f>"00744697"</f>
        <v>00744697</v>
      </c>
      <c r="K1644" s="1" t="str">
        <f>"３１２　　　　　　　　　　　　　　　　　"</f>
        <v>３１２　　　　　　　　　　　　　　　　　</v>
      </c>
      <c r="L1644" s="1"/>
    </row>
    <row r="1645" spans="1:12" ht="18" customHeight="1" x14ac:dyDescent="0.15">
      <c r="A1645" s="11">
        <v>4022</v>
      </c>
      <c r="B1645" s="11" t="s">
        <v>56</v>
      </c>
      <c r="C1645" s="11" t="s">
        <v>272</v>
      </c>
      <c r="D1645" s="11">
        <v>1</v>
      </c>
      <c r="E1645" s="11" t="s">
        <v>4</v>
      </c>
      <c r="F1645" s="12">
        <v>32712</v>
      </c>
      <c r="G1645" s="12">
        <v>32712</v>
      </c>
      <c r="H1645" s="11" t="str">
        <f t="shared" si="54"/>
        <v>平成4年12月5日</v>
      </c>
      <c r="I1645" s="22">
        <f t="shared" si="55"/>
        <v>33943</v>
      </c>
      <c r="J1645" s="1" t="str">
        <f>"00744699"</f>
        <v>00744699</v>
      </c>
      <c r="K1645" s="1" t="str">
        <f>"３１３　　　　　　　　　　　　　　　　　"</f>
        <v>３１３　　　　　　　　　　　　　　　　　</v>
      </c>
      <c r="L1645" s="1"/>
    </row>
    <row r="1646" spans="1:12" ht="18" customHeight="1" x14ac:dyDescent="0.15">
      <c r="A1646" s="11">
        <v>4023</v>
      </c>
      <c r="B1646" s="11" t="s">
        <v>56</v>
      </c>
      <c r="C1646" s="11" t="s">
        <v>272</v>
      </c>
      <c r="D1646" s="11">
        <v>1</v>
      </c>
      <c r="E1646" s="11" t="s">
        <v>4</v>
      </c>
      <c r="F1646" s="12">
        <v>32712</v>
      </c>
      <c r="G1646" s="12">
        <v>32712</v>
      </c>
      <c r="H1646" s="11" t="str">
        <f t="shared" ref="H1646:H1709" si="56">"平成4年12月5日"</f>
        <v>平成4年12月5日</v>
      </c>
      <c r="I1646" s="22">
        <f t="shared" si="55"/>
        <v>33943</v>
      </c>
      <c r="J1646" s="1" t="str">
        <f>"00744701"</f>
        <v>00744701</v>
      </c>
      <c r="K1646" s="1" t="str">
        <f>"３１４　　　　　　　　　　　　　　　　　"</f>
        <v>３１４　　　　　　　　　　　　　　　　　</v>
      </c>
      <c r="L1646" s="1"/>
    </row>
    <row r="1647" spans="1:12" ht="18" customHeight="1" x14ac:dyDescent="0.15">
      <c r="A1647" s="11">
        <v>4024</v>
      </c>
      <c r="B1647" s="11" t="s">
        <v>56</v>
      </c>
      <c r="C1647" s="11" t="s">
        <v>272</v>
      </c>
      <c r="D1647" s="11">
        <v>1</v>
      </c>
      <c r="E1647" s="11" t="s">
        <v>4</v>
      </c>
      <c r="F1647" s="12">
        <v>86643</v>
      </c>
      <c r="G1647" s="12">
        <v>86643</v>
      </c>
      <c r="H1647" s="11" t="str">
        <f t="shared" si="56"/>
        <v>平成4年12月5日</v>
      </c>
      <c r="I1647" s="22">
        <f t="shared" si="55"/>
        <v>33943</v>
      </c>
      <c r="J1647" s="1" t="str">
        <f>"00744703"</f>
        <v>00744703</v>
      </c>
      <c r="K1647" s="1" t="str">
        <f>"３１５　　　　　　　　　　　　　　　　　"</f>
        <v>３１５　　　　　　　　　　　　　　　　　</v>
      </c>
      <c r="L1647" s="1"/>
    </row>
    <row r="1648" spans="1:12" ht="18" customHeight="1" x14ac:dyDescent="0.15">
      <c r="A1648" s="11">
        <v>4025</v>
      </c>
      <c r="B1648" s="11" t="s">
        <v>56</v>
      </c>
      <c r="C1648" s="11" t="s">
        <v>274</v>
      </c>
      <c r="D1648" s="11">
        <v>1</v>
      </c>
      <c r="E1648" s="11" t="s">
        <v>4</v>
      </c>
      <c r="F1648" s="12">
        <v>29252</v>
      </c>
      <c r="G1648" s="12">
        <v>29252</v>
      </c>
      <c r="H1648" s="11" t="str">
        <f t="shared" si="56"/>
        <v>平成4年12月5日</v>
      </c>
      <c r="I1648" s="22">
        <f t="shared" si="55"/>
        <v>33943</v>
      </c>
      <c r="J1648" s="1" t="str">
        <f>"00744707"</f>
        <v>00744707</v>
      </c>
      <c r="K1648" s="1" t="str">
        <f>"３２０　　　　　　　　　　　　　　　　　"</f>
        <v>３２０　　　　　　　　　　　　　　　　　</v>
      </c>
      <c r="L1648" s="1"/>
    </row>
    <row r="1649" spans="1:12" ht="18" customHeight="1" x14ac:dyDescent="0.15">
      <c r="A1649" s="11">
        <v>4026</v>
      </c>
      <c r="B1649" s="11" t="s">
        <v>56</v>
      </c>
      <c r="C1649" s="11" t="s">
        <v>274</v>
      </c>
      <c r="D1649" s="11">
        <v>1</v>
      </c>
      <c r="E1649" s="11" t="s">
        <v>4</v>
      </c>
      <c r="F1649" s="12">
        <v>29252</v>
      </c>
      <c r="G1649" s="12">
        <v>29252</v>
      </c>
      <c r="H1649" s="11" t="str">
        <f t="shared" si="56"/>
        <v>平成4年12月5日</v>
      </c>
      <c r="I1649" s="22">
        <f t="shared" si="55"/>
        <v>33943</v>
      </c>
      <c r="J1649" s="1" t="str">
        <f>"00744709"</f>
        <v>00744709</v>
      </c>
      <c r="K1649" s="1" t="str">
        <f>"３２１　　　　　　　　　　　　　　　　　"</f>
        <v>３２１　　　　　　　　　　　　　　　　　</v>
      </c>
      <c r="L1649" s="1"/>
    </row>
    <row r="1650" spans="1:12" ht="18" customHeight="1" x14ac:dyDescent="0.15">
      <c r="A1650" s="11">
        <v>4027</v>
      </c>
      <c r="B1650" s="11" t="s">
        <v>56</v>
      </c>
      <c r="C1650" s="11" t="s">
        <v>274</v>
      </c>
      <c r="D1650" s="11">
        <v>1</v>
      </c>
      <c r="E1650" s="11" t="s">
        <v>4</v>
      </c>
      <c r="F1650" s="12">
        <v>29252</v>
      </c>
      <c r="G1650" s="12">
        <v>29252</v>
      </c>
      <c r="H1650" s="11" t="str">
        <f t="shared" si="56"/>
        <v>平成4年12月5日</v>
      </c>
      <c r="I1650" s="22">
        <f t="shared" si="55"/>
        <v>33943</v>
      </c>
      <c r="J1650" s="1" t="str">
        <f>"00744711"</f>
        <v>00744711</v>
      </c>
      <c r="K1650" s="1" t="str">
        <f>"３２２　　　　　　　　　　　　　　　　　"</f>
        <v>３２２　　　　　　　　　　　　　　　　　</v>
      </c>
      <c r="L1650" s="1"/>
    </row>
    <row r="1651" spans="1:12" ht="18" customHeight="1" x14ac:dyDescent="0.15">
      <c r="A1651" s="11">
        <v>4034</v>
      </c>
      <c r="B1651" s="11" t="s">
        <v>57</v>
      </c>
      <c r="C1651" s="11" t="s">
        <v>278</v>
      </c>
      <c r="D1651" s="11">
        <v>1</v>
      </c>
      <c r="E1651" s="11" t="s">
        <v>4</v>
      </c>
      <c r="F1651" s="12">
        <v>60461</v>
      </c>
      <c r="G1651" s="12">
        <v>60461</v>
      </c>
      <c r="H1651" s="11" t="str">
        <f t="shared" si="56"/>
        <v>平成4年12月5日</v>
      </c>
      <c r="I1651" s="22">
        <f t="shared" si="55"/>
        <v>33943</v>
      </c>
      <c r="J1651" s="1" t="str">
        <f>"00744731"</f>
        <v>00744731</v>
      </c>
      <c r="K1651" s="1" t="str">
        <f>"３０１　　　　　　　　　　　　　　　　　"</f>
        <v>３０１　　　　　　　　　　　　　　　　　</v>
      </c>
      <c r="L1651" s="1"/>
    </row>
    <row r="1652" spans="1:12" ht="18" customHeight="1" x14ac:dyDescent="0.15">
      <c r="A1652" s="11">
        <v>4035</v>
      </c>
      <c r="B1652" s="11" t="s">
        <v>57</v>
      </c>
      <c r="C1652" s="11" t="s">
        <v>278</v>
      </c>
      <c r="D1652" s="11">
        <v>1</v>
      </c>
      <c r="E1652" s="11" t="s">
        <v>4</v>
      </c>
      <c r="F1652" s="12">
        <v>60461</v>
      </c>
      <c r="G1652" s="12">
        <v>60461</v>
      </c>
      <c r="H1652" s="11" t="str">
        <f t="shared" si="56"/>
        <v>平成4年12月5日</v>
      </c>
      <c r="I1652" s="22">
        <f t="shared" si="55"/>
        <v>33943</v>
      </c>
      <c r="J1652" s="1" t="str">
        <f>"00744733"</f>
        <v>00744733</v>
      </c>
      <c r="K1652" s="1" t="str">
        <f>"３０２　　　　　　　　　　　　　　　　　"</f>
        <v>３０２　　　　　　　　　　　　　　　　　</v>
      </c>
      <c r="L1652" s="1"/>
    </row>
    <row r="1653" spans="1:12" ht="18" customHeight="1" x14ac:dyDescent="0.15">
      <c r="A1653" s="11">
        <v>4036</v>
      </c>
      <c r="B1653" s="11" t="s">
        <v>57</v>
      </c>
      <c r="C1653" s="11" t="s">
        <v>278</v>
      </c>
      <c r="D1653" s="11">
        <v>1</v>
      </c>
      <c r="E1653" s="11" t="s">
        <v>4</v>
      </c>
      <c r="F1653" s="12">
        <v>59122</v>
      </c>
      <c r="G1653" s="12">
        <v>59122</v>
      </c>
      <c r="H1653" s="11" t="str">
        <f t="shared" si="56"/>
        <v>平成4年12月5日</v>
      </c>
      <c r="I1653" s="22">
        <f t="shared" si="55"/>
        <v>33943</v>
      </c>
      <c r="J1653" s="1" t="str">
        <f>"00744735"</f>
        <v>00744735</v>
      </c>
      <c r="K1653" s="1" t="str">
        <f>"３０３　　　　　　　　　　　　　　　　　"</f>
        <v>３０３　　　　　　　　　　　　　　　　　</v>
      </c>
      <c r="L1653" s="1"/>
    </row>
    <row r="1654" spans="1:12" ht="18" customHeight="1" x14ac:dyDescent="0.15">
      <c r="A1654" s="11">
        <v>4037</v>
      </c>
      <c r="B1654" s="11" t="s">
        <v>57</v>
      </c>
      <c r="C1654" s="11" t="s">
        <v>278</v>
      </c>
      <c r="D1654" s="11">
        <v>1</v>
      </c>
      <c r="E1654" s="11" t="s">
        <v>4</v>
      </c>
      <c r="F1654" s="12">
        <v>59122</v>
      </c>
      <c r="G1654" s="12">
        <v>59122</v>
      </c>
      <c r="H1654" s="11" t="str">
        <f t="shared" si="56"/>
        <v>平成4年12月5日</v>
      </c>
      <c r="I1654" s="22">
        <f t="shared" si="55"/>
        <v>33943</v>
      </c>
      <c r="J1654" s="1" t="str">
        <f>"00744737"</f>
        <v>00744737</v>
      </c>
      <c r="K1654" s="1" t="str">
        <f>"３０４　　　　　　　　　　　　　　　　　"</f>
        <v>３０４　　　　　　　　　　　　　　　　　</v>
      </c>
      <c r="L1654" s="1"/>
    </row>
    <row r="1655" spans="1:12" ht="18" customHeight="1" x14ac:dyDescent="0.15">
      <c r="A1655" s="11">
        <v>4038</v>
      </c>
      <c r="B1655" s="11" t="s">
        <v>57</v>
      </c>
      <c r="C1655" s="11" t="s">
        <v>278</v>
      </c>
      <c r="D1655" s="11">
        <v>1</v>
      </c>
      <c r="E1655" s="11" t="s">
        <v>4</v>
      </c>
      <c r="F1655" s="12">
        <v>59122</v>
      </c>
      <c r="G1655" s="12">
        <v>59122</v>
      </c>
      <c r="H1655" s="11" t="str">
        <f t="shared" si="56"/>
        <v>平成4年12月5日</v>
      </c>
      <c r="I1655" s="22">
        <f t="shared" si="55"/>
        <v>33943</v>
      </c>
      <c r="J1655" s="1" t="str">
        <f>"00744738"</f>
        <v>00744738</v>
      </c>
      <c r="K1655" s="1" t="str">
        <f>"３０５　　　　　　　　　　　　　　　　　"</f>
        <v>３０５　　　　　　　　　　　　　　　　　</v>
      </c>
      <c r="L1655" s="1"/>
    </row>
    <row r="1656" spans="1:12" ht="18" customHeight="1" x14ac:dyDescent="0.15">
      <c r="A1656" s="25">
        <v>4048</v>
      </c>
      <c r="B1656" s="25" t="s">
        <v>76</v>
      </c>
      <c r="C1656" s="25" t="s">
        <v>283</v>
      </c>
      <c r="D1656" s="25">
        <v>1</v>
      </c>
      <c r="E1656" s="25" t="s">
        <v>4</v>
      </c>
      <c r="F1656" s="38">
        <v>110400</v>
      </c>
      <c r="G1656" s="38" t="s">
        <v>667</v>
      </c>
      <c r="H1656" s="11" t="str">
        <f t="shared" si="56"/>
        <v>平成4年12月5日</v>
      </c>
      <c r="I1656" s="22">
        <f t="shared" si="55"/>
        <v>33943</v>
      </c>
      <c r="J1656" s="1" t="str">
        <f>"00744758"</f>
        <v>00744758</v>
      </c>
      <c r="K1656" s="1" t="str">
        <f>"３０１　　　　　　　　　　　　　　　　　"</f>
        <v>３０１　　　　　　　　　　　　　　　　　</v>
      </c>
      <c r="L1656" s="1"/>
    </row>
    <row r="1657" spans="1:12" ht="18" customHeight="1" x14ac:dyDescent="0.15">
      <c r="A1657" s="25">
        <v>4054</v>
      </c>
      <c r="B1657" s="25" t="s">
        <v>113</v>
      </c>
      <c r="C1657" s="25" t="s">
        <v>287</v>
      </c>
      <c r="D1657" s="25">
        <v>1</v>
      </c>
      <c r="E1657" s="25" t="s">
        <v>4</v>
      </c>
      <c r="F1657" s="38">
        <v>41200</v>
      </c>
      <c r="G1657" s="38" t="s">
        <v>667</v>
      </c>
      <c r="H1657" s="11" t="str">
        <f t="shared" si="56"/>
        <v>平成4年12月5日</v>
      </c>
      <c r="I1657" s="22">
        <f t="shared" si="55"/>
        <v>33943</v>
      </c>
      <c r="J1657" s="1" t="str">
        <f>"00744773"</f>
        <v>00744773</v>
      </c>
      <c r="K1657" s="1" t="str">
        <f>"３０１　　　　　　　　　　　　　　　　　"</f>
        <v>３０１　　　　　　　　　　　　　　　　　</v>
      </c>
      <c r="L1657" s="1"/>
    </row>
    <row r="1658" spans="1:12" ht="18" customHeight="1" x14ac:dyDescent="0.15">
      <c r="A1658" s="25">
        <v>4055</v>
      </c>
      <c r="B1658" s="25" t="s">
        <v>113</v>
      </c>
      <c r="C1658" s="25" t="s">
        <v>287</v>
      </c>
      <c r="D1658" s="25">
        <v>1</v>
      </c>
      <c r="E1658" s="25" t="s">
        <v>4</v>
      </c>
      <c r="F1658" s="38">
        <v>41200</v>
      </c>
      <c r="G1658" s="38" t="s">
        <v>667</v>
      </c>
      <c r="H1658" s="11" t="str">
        <f t="shared" si="56"/>
        <v>平成4年12月5日</v>
      </c>
      <c r="I1658" s="22">
        <f t="shared" si="55"/>
        <v>33943</v>
      </c>
      <c r="J1658" s="1" t="str">
        <f>"00744775"</f>
        <v>00744775</v>
      </c>
      <c r="K1658" s="1" t="str">
        <f>"３０２　　　　　　　　　　　　　　　　　"</f>
        <v>３０２　　　　　　　　　　　　　　　　　</v>
      </c>
      <c r="L1658" s="1"/>
    </row>
    <row r="1659" spans="1:12" ht="18" customHeight="1" x14ac:dyDescent="0.15">
      <c r="A1659" s="25">
        <v>4056</v>
      </c>
      <c r="B1659" s="25" t="s">
        <v>113</v>
      </c>
      <c r="C1659" s="25" t="s">
        <v>287</v>
      </c>
      <c r="D1659" s="25">
        <v>1</v>
      </c>
      <c r="E1659" s="25" t="s">
        <v>4</v>
      </c>
      <c r="F1659" s="38">
        <v>41200</v>
      </c>
      <c r="G1659" s="38" t="s">
        <v>667</v>
      </c>
      <c r="H1659" s="11" t="str">
        <f t="shared" si="56"/>
        <v>平成4年12月5日</v>
      </c>
      <c r="I1659" s="22">
        <f t="shared" si="55"/>
        <v>33943</v>
      </c>
      <c r="J1659" s="1" t="str">
        <f>"00744777"</f>
        <v>00744777</v>
      </c>
      <c r="K1659" s="1" t="str">
        <f>"３０３　　　　　　　　　　　　　　　　　"</f>
        <v>３０３　　　　　　　　　　　　　　　　　</v>
      </c>
      <c r="L1659" s="1"/>
    </row>
    <row r="1660" spans="1:12" ht="18" customHeight="1" x14ac:dyDescent="0.15">
      <c r="A1660" s="11">
        <v>4059</v>
      </c>
      <c r="B1660" s="11" t="s">
        <v>114</v>
      </c>
      <c r="C1660" s="11" t="s">
        <v>289</v>
      </c>
      <c r="D1660" s="11">
        <v>1</v>
      </c>
      <c r="E1660" s="11" t="s">
        <v>4</v>
      </c>
      <c r="F1660" s="12">
        <v>577830</v>
      </c>
      <c r="G1660" s="12">
        <v>577830</v>
      </c>
      <c r="H1660" s="11" t="str">
        <f t="shared" si="56"/>
        <v>平成4年12月5日</v>
      </c>
      <c r="I1660" s="22">
        <f t="shared" si="55"/>
        <v>33943</v>
      </c>
      <c r="J1660" s="1" t="str">
        <f>"00744797"</f>
        <v>00744797</v>
      </c>
      <c r="K1660" s="1" t="str">
        <f>"３０１　　　　　　　　　　　　　　　　　"</f>
        <v>３０１　　　　　　　　　　　　　　　　　</v>
      </c>
      <c r="L1660" s="1"/>
    </row>
    <row r="1661" spans="1:12" ht="18" customHeight="1" x14ac:dyDescent="0.15">
      <c r="A1661" s="11">
        <v>4060</v>
      </c>
      <c r="B1661" s="11" t="s">
        <v>290</v>
      </c>
      <c r="C1661" s="11" t="s">
        <v>291</v>
      </c>
      <c r="D1661" s="11">
        <v>1</v>
      </c>
      <c r="E1661" s="11" t="s">
        <v>4</v>
      </c>
      <c r="F1661" s="12">
        <v>60800</v>
      </c>
      <c r="G1661" s="12">
        <v>60800</v>
      </c>
      <c r="H1661" s="11" t="str">
        <f t="shared" si="56"/>
        <v>平成4年12月5日</v>
      </c>
      <c r="I1661" s="22">
        <f t="shared" si="55"/>
        <v>33943</v>
      </c>
      <c r="J1661" s="1" t="str">
        <f>"00744799"</f>
        <v>00744799</v>
      </c>
      <c r="K1661" s="1" t="str">
        <f>"３０１　　　　　　　　　　　　　　　　　"</f>
        <v>３０１　　　　　　　　　　　　　　　　　</v>
      </c>
      <c r="L1661" s="1"/>
    </row>
    <row r="1662" spans="1:12" ht="18" customHeight="1" x14ac:dyDescent="0.15">
      <c r="A1662" s="11">
        <v>4061</v>
      </c>
      <c r="B1662" s="11" t="s">
        <v>290</v>
      </c>
      <c r="C1662" s="11" t="s">
        <v>291</v>
      </c>
      <c r="D1662" s="11">
        <v>1</v>
      </c>
      <c r="E1662" s="11" t="s">
        <v>4</v>
      </c>
      <c r="F1662" s="12">
        <v>60800</v>
      </c>
      <c r="G1662" s="12">
        <v>60800</v>
      </c>
      <c r="H1662" s="11" t="str">
        <f t="shared" si="56"/>
        <v>平成4年12月5日</v>
      </c>
      <c r="I1662" s="22">
        <f t="shared" si="55"/>
        <v>33943</v>
      </c>
      <c r="J1662" s="1" t="str">
        <f>"00744800"</f>
        <v>00744800</v>
      </c>
      <c r="K1662" s="1" t="str">
        <f>"３０２　　　　　　　　　　　　　　　　　"</f>
        <v>３０２　　　　　　　　　　　　　　　　　</v>
      </c>
      <c r="L1662" s="1"/>
    </row>
    <row r="1663" spans="1:12" ht="18" customHeight="1" x14ac:dyDescent="0.15">
      <c r="A1663" s="11">
        <v>4062</v>
      </c>
      <c r="B1663" s="11" t="s">
        <v>290</v>
      </c>
      <c r="C1663" s="11" t="s">
        <v>291</v>
      </c>
      <c r="D1663" s="11">
        <v>1</v>
      </c>
      <c r="E1663" s="11" t="s">
        <v>4</v>
      </c>
      <c r="F1663" s="12">
        <v>60800</v>
      </c>
      <c r="G1663" s="12">
        <v>60800</v>
      </c>
      <c r="H1663" s="11" t="str">
        <f t="shared" si="56"/>
        <v>平成4年12月5日</v>
      </c>
      <c r="I1663" s="22">
        <f t="shared" si="55"/>
        <v>33943</v>
      </c>
      <c r="J1663" s="1" t="str">
        <f>"00744802"</f>
        <v>00744802</v>
      </c>
      <c r="K1663" s="1" t="str">
        <f>"３０３　　　　　　　　　　　　　　　　　"</f>
        <v>３０３　　　　　　　　　　　　　　　　　</v>
      </c>
      <c r="L1663" s="1"/>
    </row>
    <row r="1664" spans="1:12" ht="18" customHeight="1" x14ac:dyDescent="0.15">
      <c r="A1664" s="11">
        <v>4063</v>
      </c>
      <c r="B1664" s="11" t="s">
        <v>290</v>
      </c>
      <c r="C1664" s="11" t="s">
        <v>291</v>
      </c>
      <c r="D1664" s="11">
        <v>1</v>
      </c>
      <c r="E1664" s="11" t="s">
        <v>4</v>
      </c>
      <c r="F1664" s="12">
        <v>60800</v>
      </c>
      <c r="G1664" s="12">
        <v>60800</v>
      </c>
      <c r="H1664" s="11" t="str">
        <f t="shared" si="56"/>
        <v>平成4年12月5日</v>
      </c>
      <c r="I1664" s="22">
        <f t="shared" si="55"/>
        <v>33943</v>
      </c>
      <c r="J1664" s="1" t="str">
        <f>"00744804"</f>
        <v>00744804</v>
      </c>
      <c r="K1664" s="1" t="str">
        <f>"３０４　　　　　　　　　　　　　　　　　"</f>
        <v>３０４　　　　　　　　　　　　　　　　　</v>
      </c>
      <c r="L1664" s="1"/>
    </row>
    <row r="1665" spans="1:12" ht="18" customHeight="1" x14ac:dyDescent="0.15">
      <c r="A1665" s="11">
        <v>4064</v>
      </c>
      <c r="B1665" s="11" t="s">
        <v>290</v>
      </c>
      <c r="C1665" s="11" t="s">
        <v>291</v>
      </c>
      <c r="D1665" s="11">
        <v>1</v>
      </c>
      <c r="E1665" s="11" t="s">
        <v>4</v>
      </c>
      <c r="F1665" s="12">
        <v>60800</v>
      </c>
      <c r="G1665" s="12">
        <v>60800</v>
      </c>
      <c r="H1665" s="11" t="str">
        <f t="shared" si="56"/>
        <v>平成4年12月5日</v>
      </c>
      <c r="I1665" s="22">
        <f t="shared" si="55"/>
        <v>33943</v>
      </c>
      <c r="J1665" s="1" t="str">
        <f>"00744806"</f>
        <v>00744806</v>
      </c>
      <c r="K1665" s="1" t="str">
        <f>"３０５　　　　　　　　　　　　　　　　　"</f>
        <v>３０５　　　　　　　　　　　　　　　　　</v>
      </c>
      <c r="L1665" s="1"/>
    </row>
    <row r="1666" spans="1:12" ht="18" customHeight="1" x14ac:dyDescent="0.15">
      <c r="A1666" s="11">
        <v>4065</v>
      </c>
      <c r="B1666" s="11" t="s">
        <v>290</v>
      </c>
      <c r="C1666" s="11" t="s">
        <v>291</v>
      </c>
      <c r="D1666" s="11">
        <v>1</v>
      </c>
      <c r="E1666" s="11" t="s">
        <v>4</v>
      </c>
      <c r="F1666" s="12">
        <v>60800</v>
      </c>
      <c r="G1666" s="12">
        <v>60800</v>
      </c>
      <c r="H1666" s="11" t="str">
        <f t="shared" si="56"/>
        <v>平成4年12月5日</v>
      </c>
      <c r="I1666" s="22">
        <f t="shared" si="55"/>
        <v>33943</v>
      </c>
      <c r="J1666" s="1" t="str">
        <f>"00744808"</f>
        <v>00744808</v>
      </c>
      <c r="K1666" s="1" t="str">
        <f>"３０６　　　　　　　　　　　　　　　　　"</f>
        <v>３０６　　　　　　　　　　　　　　　　　</v>
      </c>
      <c r="L1666" s="1"/>
    </row>
    <row r="1667" spans="1:12" ht="18" customHeight="1" x14ac:dyDescent="0.15">
      <c r="A1667" s="11">
        <v>4066</v>
      </c>
      <c r="B1667" s="11" t="s">
        <v>290</v>
      </c>
      <c r="C1667" s="11" t="s">
        <v>291</v>
      </c>
      <c r="D1667" s="11">
        <v>1</v>
      </c>
      <c r="E1667" s="11" t="s">
        <v>4</v>
      </c>
      <c r="F1667" s="12">
        <v>60800</v>
      </c>
      <c r="G1667" s="12">
        <v>60800</v>
      </c>
      <c r="H1667" s="11" t="str">
        <f t="shared" si="56"/>
        <v>平成4年12月5日</v>
      </c>
      <c r="I1667" s="22">
        <f t="shared" si="55"/>
        <v>33943</v>
      </c>
      <c r="J1667" s="1" t="str">
        <f>"00744810"</f>
        <v>00744810</v>
      </c>
      <c r="K1667" s="1" t="str">
        <f>"３０７　　　　　　　　　　　　　　　　　"</f>
        <v>３０７　　　　　　　　　　　　　　　　　</v>
      </c>
      <c r="L1667" s="1"/>
    </row>
    <row r="1668" spans="1:12" ht="18" customHeight="1" x14ac:dyDescent="0.15">
      <c r="A1668" s="11">
        <v>4074</v>
      </c>
      <c r="B1668" s="11" t="s">
        <v>13</v>
      </c>
      <c r="C1668" s="11" t="s">
        <v>296</v>
      </c>
      <c r="D1668" s="11">
        <v>1</v>
      </c>
      <c r="E1668" s="11" t="s">
        <v>4</v>
      </c>
      <c r="F1668" s="12">
        <v>46900</v>
      </c>
      <c r="G1668" s="12">
        <v>46900</v>
      </c>
      <c r="H1668" s="11" t="str">
        <f t="shared" si="56"/>
        <v>平成4年12月5日</v>
      </c>
      <c r="I1668" s="22">
        <f t="shared" si="55"/>
        <v>33943</v>
      </c>
      <c r="J1668" s="1" t="str">
        <f>"00744837"</f>
        <v>00744837</v>
      </c>
      <c r="K1668" s="1" t="str">
        <f>"３０２　　　　　　　　　　　　　　　　　"</f>
        <v>３０２　　　　　　　　　　　　　　　　　</v>
      </c>
      <c r="L1668" s="1"/>
    </row>
    <row r="1669" spans="1:12" ht="18" customHeight="1" x14ac:dyDescent="0.15">
      <c r="A1669" s="11">
        <v>4075</v>
      </c>
      <c r="B1669" s="11" t="s">
        <v>13</v>
      </c>
      <c r="C1669" s="11" t="s">
        <v>296</v>
      </c>
      <c r="D1669" s="11">
        <v>1</v>
      </c>
      <c r="E1669" s="11" t="s">
        <v>4</v>
      </c>
      <c r="F1669" s="12">
        <v>46900</v>
      </c>
      <c r="G1669" s="12">
        <v>46900</v>
      </c>
      <c r="H1669" s="11" t="str">
        <f t="shared" si="56"/>
        <v>平成4年12月5日</v>
      </c>
      <c r="I1669" s="22">
        <f t="shared" si="55"/>
        <v>33943</v>
      </c>
      <c r="J1669" s="1" t="str">
        <f>"00744841"</f>
        <v>00744841</v>
      </c>
      <c r="K1669" s="1" t="str">
        <f>"３０４　　　　　　　　　　　　　　　　　"</f>
        <v>３０４　　　　　　　　　　　　　　　　　</v>
      </c>
      <c r="L1669" s="1"/>
    </row>
    <row r="1670" spans="1:12" ht="18" customHeight="1" x14ac:dyDescent="0.15">
      <c r="A1670" s="11">
        <v>4076</v>
      </c>
      <c r="B1670" s="11" t="s">
        <v>13</v>
      </c>
      <c r="C1670" s="11" t="s">
        <v>296</v>
      </c>
      <c r="D1670" s="11">
        <v>1</v>
      </c>
      <c r="E1670" s="11" t="s">
        <v>4</v>
      </c>
      <c r="F1670" s="12">
        <v>46900</v>
      </c>
      <c r="G1670" s="12">
        <v>46900</v>
      </c>
      <c r="H1670" s="11" t="str">
        <f t="shared" si="56"/>
        <v>平成4年12月5日</v>
      </c>
      <c r="I1670" s="22">
        <f t="shared" si="55"/>
        <v>33943</v>
      </c>
      <c r="J1670" s="1" t="str">
        <f>"00744851"</f>
        <v>00744851</v>
      </c>
      <c r="K1670" s="1" t="str">
        <f>"３０９　　　　　　　　　　　　　　　　　"</f>
        <v>３０９　　　　　　　　　　　　　　　　　</v>
      </c>
      <c r="L1670" s="1"/>
    </row>
    <row r="1671" spans="1:12" ht="18" customHeight="1" x14ac:dyDescent="0.15">
      <c r="A1671" s="11">
        <v>4077</v>
      </c>
      <c r="B1671" s="11" t="s">
        <v>13</v>
      </c>
      <c r="C1671" s="11" t="s">
        <v>296</v>
      </c>
      <c r="D1671" s="11">
        <v>1</v>
      </c>
      <c r="E1671" s="11" t="s">
        <v>4</v>
      </c>
      <c r="F1671" s="12">
        <v>46900</v>
      </c>
      <c r="G1671" s="12">
        <v>46900</v>
      </c>
      <c r="H1671" s="11" t="str">
        <f t="shared" si="56"/>
        <v>平成4年12月5日</v>
      </c>
      <c r="I1671" s="22">
        <f t="shared" si="55"/>
        <v>33943</v>
      </c>
      <c r="J1671" s="1" t="str">
        <f>"00744853"</f>
        <v>00744853</v>
      </c>
      <c r="K1671" s="1" t="str">
        <f>"３１０　　　　　　　　　　　　　　　　　"</f>
        <v>３１０　　　　　　　　　　　　　　　　　</v>
      </c>
      <c r="L1671" s="1"/>
    </row>
    <row r="1672" spans="1:12" ht="18" customHeight="1" x14ac:dyDescent="0.15">
      <c r="A1672" s="11">
        <v>4078</v>
      </c>
      <c r="B1672" s="11" t="s">
        <v>13</v>
      </c>
      <c r="C1672" s="11" t="s">
        <v>296</v>
      </c>
      <c r="D1672" s="11">
        <v>1</v>
      </c>
      <c r="E1672" s="11" t="s">
        <v>4</v>
      </c>
      <c r="F1672" s="12">
        <v>46900</v>
      </c>
      <c r="G1672" s="12">
        <v>46900</v>
      </c>
      <c r="H1672" s="11" t="str">
        <f t="shared" si="56"/>
        <v>平成4年12月5日</v>
      </c>
      <c r="I1672" s="22">
        <f t="shared" si="55"/>
        <v>33943</v>
      </c>
      <c r="J1672" s="1" t="str">
        <f>"00744855"</f>
        <v>00744855</v>
      </c>
      <c r="K1672" s="1" t="str">
        <f>"３１１　　　　　　　　　　　　　　　　　"</f>
        <v>３１１　　　　　　　　　　　　　　　　　</v>
      </c>
      <c r="L1672" s="1"/>
    </row>
    <row r="1673" spans="1:12" ht="18" customHeight="1" x14ac:dyDescent="0.15">
      <c r="A1673" s="11">
        <v>4079</v>
      </c>
      <c r="B1673" s="11" t="s">
        <v>13</v>
      </c>
      <c r="C1673" s="11" t="s">
        <v>296</v>
      </c>
      <c r="D1673" s="11">
        <v>1</v>
      </c>
      <c r="E1673" s="11" t="s">
        <v>4</v>
      </c>
      <c r="F1673" s="12">
        <v>46900</v>
      </c>
      <c r="G1673" s="12">
        <v>46900</v>
      </c>
      <c r="H1673" s="11" t="str">
        <f t="shared" si="56"/>
        <v>平成4年12月5日</v>
      </c>
      <c r="I1673" s="22">
        <f t="shared" si="55"/>
        <v>33943</v>
      </c>
      <c r="J1673" s="1" t="str">
        <f>"00744857"</f>
        <v>00744857</v>
      </c>
      <c r="K1673" s="1" t="str">
        <f>"３１２　　　　　　　　　　　　　　　　　"</f>
        <v>３１２　　　　　　　　　　　　　　　　　</v>
      </c>
      <c r="L1673" s="1"/>
    </row>
    <row r="1674" spans="1:12" ht="18" customHeight="1" x14ac:dyDescent="0.15">
      <c r="A1674" s="11">
        <v>4080</v>
      </c>
      <c r="B1674" s="11" t="s">
        <v>13</v>
      </c>
      <c r="C1674" s="11" t="s">
        <v>296</v>
      </c>
      <c r="D1674" s="11">
        <v>1</v>
      </c>
      <c r="E1674" s="11" t="s">
        <v>4</v>
      </c>
      <c r="F1674" s="12">
        <v>46900</v>
      </c>
      <c r="G1674" s="12">
        <v>46900</v>
      </c>
      <c r="H1674" s="11" t="str">
        <f t="shared" si="56"/>
        <v>平成4年12月5日</v>
      </c>
      <c r="I1674" s="22">
        <f t="shared" si="55"/>
        <v>33943</v>
      </c>
      <c r="J1674" s="1" t="str">
        <f>"00744859"</f>
        <v>00744859</v>
      </c>
      <c r="K1674" s="1" t="str">
        <f>"３１３　　　　　　　　　　　　　　　　　"</f>
        <v>３１３　　　　　　　　　　　　　　　　　</v>
      </c>
      <c r="L1674" s="1"/>
    </row>
    <row r="1675" spans="1:12" ht="18" customHeight="1" x14ac:dyDescent="0.15">
      <c r="A1675" s="11">
        <v>4081</v>
      </c>
      <c r="B1675" s="11" t="s">
        <v>13</v>
      </c>
      <c r="C1675" s="11" t="s">
        <v>296</v>
      </c>
      <c r="D1675" s="11">
        <v>1</v>
      </c>
      <c r="E1675" s="11" t="s">
        <v>4</v>
      </c>
      <c r="F1675" s="12">
        <v>46900</v>
      </c>
      <c r="G1675" s="12">
        <v>46900</v>
      </c>
      <c r="H1675" s="11" t="str">
        <f t="shared" si="56"/>
        <v>平成4年12月5日</v>
      </c>
      <c r="I1675" s="22">
        <f t="shared" si="55"/>
        <v>33943</v>
      </c>
      <c r="J1675" s="1" t="str">
        <f>"00744863"</f>
        <v>00744863</v>
      </c>
      <c r="K1675" s="1" t="str">
        <f>"３１５　　　　　　　　　　　　　　　　　"</f>
        <v>３１５　　　　　　　　　　　　　　　　　</v>
      </c>
      <c r="L1675" s="1"/>
    </row>
    <row r="1676" spans="1:12" ht="18" customHeight="1" x14ac:dyDescent="0.15">
      <c r="A1676" s="11">
        <v>4082</v>
      </c>
      <c r="B1676" s="11" t="s">
        <v>13</v>
      </c>
      <c r="C1676" s="11" t="s">
        <v>296</v>
      </c>
      <c r="D1676" s="11">
        <v>1</v>
      </c>
      <c r="E1676" s="11" t="s">
        <v>4</v>
      </c>
      <c r="F1676" s="12">
        <v>46900</v>
      </c>
      <c r="G1676" s="12">
        <v>46900</v>
      </c>
      <c r="H1676" s="11" t="str">
        <f t="shared" si="56"/>
        <v>平成4年12月5日</v>
      </c>
      <c r="I1676" s="22">
        <f t="shared" si="55"/>
        <v>33943</v>
      </c>
      <c r="J1676" s="1" t="str">
        <f>"00744871"</f>
        <v>00744871</v>
      </c>
      <c r="K1676" s="1" t="str">
        <f>"３１９　　　　　　　　　　　　　　　　　"</f>
        <v>３１９　　　　　　　　　　　　　　　　　</v>
      </c>
      <c r="L1676" s="1"/>
    </row>
    <row r="1677" spans="1:12" ht="18" customHeight="1" x14ac:dyDescent="0.15">
      <c r="A1677" s="11">
        <v>4083</v>
      </c>
      <c r="B1677" s="11" t="s">
        <v>13</v>
      </c>
      <c r="C1677" s="11" t="s">
        <v>296</v>
      </c>
      <c r="D1677" s="11">
        <v>1</v>
      </c>
      <c r="E1677" s="11" t="s">
        <v>4</v>
      </c>
      <c r="F1677" s="12">
        <v>46900</v>
      </c>
      <c r="G1677" s="12">
        <v>46900</v>
      </c>
      <c r="H1677" s="11" t="str">
        <f t="shared" si="56"/>
        <v>平成4年12月5日</v>
      </c>
      <c r="I1677" s="22">
        <f t="shared" si="55"/>
        <v>33943</v>
      </c>
      <c r="J1677" s="1" t="str">
        <f>"00744873"</f>
        <v>00744873</v>
      </c>
      <c r="K1677" s="1" t="str">
        <f>"３２０　　　　　　　　　　　　　　　　　"</f>
        <v>３２０　　　　　　　　　　　　　　　　　</v>
      </c>
      <c r="L1677" s="1"/>
    </row>
    <row r="1678" spans="1:12" ht="18" customHeight="1" x14ac:dyDescent="0.15">
      <c r="A1678" s="11">
        <v>4084</v>
      </c>
      <c r="B1678" s="11" t="s">
        <v>13</v>
      </c>
      <c r="C1678" s="11" t="s">
        <v>296</v>
      </c>
      <c r="D1678" s="11">
        <v>1</v>
      </c>
      <c r="E1678" s="11" t="s">
        <v>4</v>
      </c>
      <c r="F1678" s="12">
        <v>46900</v>
      </c>
      <c r="G1678" s="12">
        <v>46900</v>
      </c>
      <c r="H1678" s="11" t="str">
        <f t="shared" si="56"/>
        <v>平成4年12月5日</v>
      </c>
      <c r="I1678" s="22">
        <f t="shared" si="55"/>
        <v>33943</v>
      </c>
      <c r="J1678" s="1" t="str">
        <f>"00744879"</f>
        <v>00744879</v>
      </c>
      <c r="K1678" s="1" t="str">
        <f>"３２３　　　　　　　　　　　　　　　　　"</f>
        <v>３２３　　　　　　　　　　　　　　　　　</v>
      </c>
      <c r="L1678" s="1"/>
    </row>
    <row r="1679" spans="1:12" ht="18" customHeight="1" x14ac:dyDescent="0.15">
      <c r="A1679" s="11">
        <v>4085</v>
      </c>
      <c r="B1679" s="11" t="s">
        <v>13</v>
      </c>
      <c r="C1679" s="11" t="s">
        <v>296</v>
      </c>
      <c r="D1679" s="11">
        <v>1</v>
      </c>
      <c r="E1679" s="11" t="s">
        <v>4</v>
      </c>
      <c r="F1679" s="12">
        <v>46900</v>
      </c>
      <c r="G1679" s="12">
        <v>46900</v>
      </c>
      <c r="H1679" s="11" t="str">
        <f t="shared" si="56"/>
        <v>平成4年12月5日</v>
      </c>
      <c r="I1679" s="22">
        <f t="shared" si="55"/>
        <v>33943</v>
      </c>
      <c r="J1679" s="1" t="str">
        <f>"00744885"</f>
        <v>00744885</v>
      </c>
      <c r="K1679" s="1" t="str">
        <f>"３２６　　　　　　　　　　　　　　　　　"</f>
        <v>３２６　　　　　　　　　　　　　　　　　</v>
      </c>
      <c r="L1679" s="1"/>
    </row>
    <row r="1680" spans="1:12" ht="18" customHeight="1" x14ac:dyDescent="0.15">
      <c r="A1680" s="11">
        <v>4086</v>
      </c>
      <c r="B1680" s="11" t="s">
        <v>13</v>
      </c>
      <c r="C1680" s="11" t="s">
        <v>296</v>
      </c>
      <c r="D1680" s="11">
        <v>1</v>
      </c>
      <c r="E1680" s="11" t="s">
        <v>4</v>
      </c>
      <c r="F1680" s="12">
        <v>46900</v>
      </c>
      <c r="G1680" s="12">
        <v>46900</v>
      </c>
      <c r="H1680" s="11" t="str">
        <f t="shared" si="56"/>
        <v>平成4年12月5日</v>
      </c>
      <c r="I1680" s="22">
        <f t="shared" si="55"/>
        <v>33943</v>
      </c>
      <c r="J1680" s="1" t="str">
        <f>"00744889"</f>
        <v>00744889</v>
      </c>
      <c r="K1680" s="1" t="str">
        <f>"３２８　　　　　　　　　　　　　　　　　"</f>
        <v>３２８　　　　　　　　　　　　　　　　　</v>
      </c>
      <c r="L1680" s="1"/>
    </row>
    <row r="1681" spans="1:12" ht="18" customHeight="1" x14ac:dyDescent="0.15">
      <c r="A1681" s="11">
        <v>4087</v>
      </c>
      <c r="B1681" s="11" t="s">
        <v>13</v>
      </c>
      <c r="C1681" s="11" t="s">
        <v>296</v>
      </c>
      <c r="D1681" s="11">
        <v>1</v>
      </c>
      <c r="E1681" s="11" t="s">
        <v>4</v>
      </c>
      <c r="F1681" s="12">
        <v>46900</v>
      </c>
      <c r="G1681" s="12">
        <v>46900</v>
      </c>
      <c r="H1681" s="11" t="str">
        <f t="shared" si="56"/>
        <v>平成4年12月5日</v>
      </c>
      <c r="I1681" s="22">
        <f t="shared" si="55"/>
        <v>33943</v>
      </c>
      <c r="J1681" s="1" t="str">
        <f>"00744893"</f>
        <v>00744893</v>
      </c>
      <c r="K1681" s="1" t="str">
        <f>"３３０　　　　　　　　　　　　　　　　　"</f>
        <v>３３０　　　　　　　　　　　　　　　　　</v>
      </c>
      <c r="L1681" s="1"/>
    </row>
    <row r="1682" spans="1:12" ht="18" customHeight="1" x14ac:dyDescent="0.15">
      <c r="A1682" s="11">
        <v>4088</v>
      </c>
      <c r="B1682" s="11" t="s">
        <v>13</v>
      </c>
      <c r="C1682" s="11" t="s">
        <v>296</v>
      </c>
      <c r="D1682" s="11">
        <v>1</v>
      </c>
      <c r="E1682" s="11" t="s">
        <v>4</v>
      </c>
      <c r="F1682" s="12">
        <v>46900</v>
      </c>
      <c r="G1682" s="12">
        <v>46900</v>
      </c>
      <c r="H1682" s="11" t="str">
        <f t="shared" si="56"/>
        <v>平成4年12月5日</v>
      </c>
      <c r="I1682" s="22">
        <f t="shared" ref="I1682:I1745" si="57">DATEVALUE(H1682)</f>
        <v>33943</v>
      </c>
      <c r="J1682" s="1" t="str">
        <f>"00744895"</f>
        <v>00744895</v>
      </c>
      <c r="K1682" s="1" t="str">
        <f>"３３１　　　　　　　　　　　　　　　　　"</f>
        <v>３３１　　　　　　　　　　　　　　　　　</v>
      </c>
      <c r="L1682" s="1"/>
    </row>
    <row r="1683" spans="1:12" ht="18" customHeight="1" x14ac:dyDescent="0.15">
      <c r="A1683" s="11">
        <v>4089</v>
      </c>
      <c r="B1683" s="11" t="s">
        <v>13</v>
      </c>
      <c r="C1683" s="11" t="s">
        <v>296</v>
      </c>
      <c r="D1683" s="11">
        <v>1</v>
      </c>
      <c r="E1683" s="11" t="s">
        <v>4</v>
      </c>
      <c r="F1683" s="12">
        <v>46900</v>
      </c>
      <c r="G1683" s="12">
        <v>46900</v>
      </c>
      <c r="H1683" s="11" t="str">
        <f t="shared" si="56"/>
        <v>平成4年12月5日</v>
      </c>
      <c r="I1683" s="22">
        <f t="shared" si="57"/>
        <v>33943</v>
      </c>
      <c r="J1683" s="1" t="str">
        <f>"00744899"</f>
        <v>00744899</v>
      </c>
      <c r="K1683" s="1" t="str">
        <f>"３３３　　　　　　　　　　　　　　　　　"</f>
        <v>３３３　　　　　　　　　　　　　　　　　</v>
      </c>
      <c r="L1683" s="1"/>
    </row>
    <row r="1684" spans="1:12" ht="18" customHeight="1" x14ac:dyDescent="0.15">
      <c r="A1684" s="11">
        <v>4090</v>
      </c>
      <c r="B1684" s="11" t="s">
        <v>13</v>
      </c>
      <c r="C1684" s="11" t="s">
        <v>296</v>
      </c>
      <c r="D1684" s="11">
        <v>1</v>
      </c>
      <c r="E1684" s="11" t="s">
        <v>4</v>
      </c>
      <c r="F1684" s="12">
        <v>46900</v>
      </c>
      <c r="G1684" s="12">
        <v>46900</v>
      </c>
      <c r="H1684" s="11" t="str">
        <f t="shared" si="56"/>
        <v>平成4年12月5日</v>
      </c>
      <c r="I1684" s="22">
        <f t="shared" si="57"/>
        <v>33943</v>
      </c>
      <c r="J1684" s="1" t="str">
        <f>"00744901"</f>
        <v>00744901</v>
      </c>
      <c r="K1684" s="1" t="str">
        <f>"３３４　　　　　　　　　　　　　　　　　"</f>
        <v>３３４　　　　　　　　　　　　　　　　　</v>
      </c>
      <c r="L1684" s="1"/>
    </row>
    <row r="1685" spans="1:12" ht="18" customHeight="1" x14ac:dyDescent="0.15">
      <c r="A1685" s="11">
        <v>4091</v>
      </c>
      <c r="B1685" s="11" t="s">
        <v>13</v>
      </c>
      <c r="C1685" s="11" t="s">
        <v>296</v>
      </c>
      <c r="D1685" s="11">
        <v>1</v>
      </c>
      <c r="E1685" s="11" t="s">
        <v>4</v>
      </c>
      <c r="F1685" s="12">
        <v>46900</v>
      </c>
      <c r="G1685" s="12">
        <v>46900</v>
      </c>
      <c r="H1685" s="11" t="str">
        <f t="shared" si="56"/>
        <v>平成4年12月5日</v>
      </c>
      <c r="I1685" s="22">
        <f t="shared" si="57"/>
        <v>33943</v>
      </c>
      <c r="J1685" s="1" t="str">
        <f>"00744903"</f>
        <v>00744903</v>
      </c>
      <c r="K1685" s="1" t="str">
        <f>"３３５　　　　　　　　　　　　　　　　　"</f>
        <v>３３５　　　　　　　　　　　　　　　　　</v>
      </c>
      <c r="L1685" s="1"/>
    </row>
    <row r="1686" spans="1:12" ht="18" customHeight="1" x14ac:dyDescent="0.15">
      <c r="A1686" s="11">
        <v>4092</v>
      </c>
      <c r="B1686" s="11" t="s">
        <v>13</v>
      </c>
      <c r="C1686" s="11" t="s">
        <v>296</v>
      </c>
      <c r="D1686" s="11">
        <v>1</v>
      </c>
      <c r="E1686" s="11" t="s">
        <v>4</v>
      </c>
      <c r="F1686" s="12">
        <v>46900</v>
      </c>
      <c r="G1686" s="12">
        <v>46900</v>
      </c>
      <c r="H1686" s="11" t="str">
        <f t="shared" si="56"/>
        <v>平成4年12月5日</v>
      </c>
      <c r="I1686" s="22">
        <f t="shared" si="57"/>
        <v>33943</v>
      </c>
      <c r="J1686" s="1" t="str">
        <f>"00744905"</f>
        <v>00744905</v>
      </c>
      <c r="K1686" s="1" t="str">
        <f>"３３６　　　　　　　　　　　　　　　　　"</f>
        <v>３３６　　　　　　　　　　　　　　　　　</v>
      </c>
      <c r="L1686" s="1"/>
    </row>
    <row r="1687" spans="1:12" ht="18" customHeight="1" x14ac:dyDescent="0.15">
      <c r="A1687" s="11">
        <v>4093</v>
      </c>
      <c r="B1687" s="11" t="s">
        <v>13</v>
      </c>
      <c r="C1687" s="11" t="s">
        <v>296</v>
      </c>
      <c r="D1687" s="11">
        <v>1</v>
      </c>
      <c r="E1687" s="11" t="s">
        <v>4</v>
      </c>
      <c r="F1687" s="12">
        <v>46900</v>
      </c>
      <c r="G1687" s="12">
        <v>46900</v>
      </c>
      <c r="H1687" s="11" t="str">
        <f t="shared" si="56"/>
        <v>平成4年12月5日</v>
      </c>
      <c r="I1687" s="22">
        <f t="shared" si="57"/>
        <v>33943</v>
      </c>
      <c r="J1687" s="1" t="str">
        <f>"00744907"</f>
        <v>00744907</v>
      </c>
      <c r="K1687" s="1" t="str">
        <f>"３３７　　　　　　　　　　　　　　　　　"</f>
        <v>３３７　　　　　　　　　　　　　　　　　</v>
      </c>
      <c r="L1687" s="1"/>
    </row>
    <row r="1688" spans="1:12" ht="18" customHeight="1" x14ac:dyDescent="0.15">
      <c r="A1688" s="11">
        <v>4094</v>
      </c>
      <c r="B1688" s="11" t="s">
        <v>13</v>
      </c>
      <c r="C1688" s="11" t="s">
        <v>296</v>
      </c>
      <c r="D1688" s="11">
        <v>1</v>
      </c>
      <c r="E1688" s="11" t="s">
        <v>4</v>
      </c>
      <c r="F1688" s="12">
        <v>46900</v>
      </c>
      <c r="G1688" s="12">
        <v>46900</v>
      </c>
      <c r="H1688" s="11" t="str">
        <f t="shared" si="56"/>
        <v>平成4年12月5日</v>
      </c>
      <c r="I1688" s="22">
        <f t="shared" si="57"/>
        <v>33943</v>
      </c>
      <c r="J1688" s="1" t="str">
        <f>"00744909"</f>
        <v>00744909</v>
      </c>
      <c r="K1688" s="1" t="str">
        <f>"３３８　　　　　　　　　　　　　　　　　"</f>
        <v>３３８　　　　　　　　　　　　　　　　　</v>
      </c>
      <c r="L1688" s="1"/>
    </row>
    <row r="1689" spans="1:12" ht="18" customHeight="1" x14ac:dyDescent="0.15">
      <c r="A1689" s="11">
        <v>4095</v>
      </c>
      <c r="B1689" s="11" t="s">
        <v>13</v>
      </c>
      <c r="C1689" s="11" t="s">
        <v>296</v>
      </c>
      <c r="D1689" s="11">
        <v>1</v>
      </c>
      <c r="E1689" s="11" t="s">
        <v>4</v>
      </c>
      <c r="F1689" s="12">
        <v>46900</v>
      </c>
      <c r="G1689" s="12">
        <v>46900</v>
      </c>
      <c r="H1689" s="11" t="str">
        <f t="shared" si="56"/>
        <v>平成4年12月5日</v>
      </c>
      <c r="I1689" s="22">
        <f t="shared" si="57"/>
        <v>33943</v>
      </c>
      <c r="J1689" s="1" t="str">
        <f>"00744913"</f>
        <v>00744913</v>
      </c>
      <c r="K1689" s="1" t="str">
        <f>"３４０　　　　　　　　　　　　　　　　　"</f>
        <v>３４０　　　　　　　　　　　　　　　　　</v>
      </c>
      <c r="L1689" s="1"/>
    </row>
    <row r="1690" spans="1:12" ht="18" customHeight="1" x14ac:dyDescent="0.15">
      <c r="A1690" s="11">
        <v>4096</v>
      </c>
      <c r="B1690" s="11" t="s">
        <v>13</v>
      </c>
      <c r="C1690" s="11" t="s">
        <v>296</v>
      </c>
      <c r="D1690" s="11">
        <v>1</v>
      </c>
      <c r="E1690" s="11" t="s">
        <v>4</v>
      </c>
      <c r="F1690" s="12">
        <v>46900</v>
      </c>
      <c r="G1690" s="12">
        <v>46900</v>
      </c>
      <c r="H1690" s="11" t="str">
        <f t="shared" si="56"/>
        <v>平成4年12月5日</v>
      </c>
      <c r="I1690" s="22">
        <f t="shared" si="57"/>
        <v>33943</v>
      </c>
      <c r="J1690" s="1" t="str">
        <f>"00744915"</f>
        <v>00744915</v>
      </c>
      <c r="K1690" s="1" t="str">
        <f>"３４１　　　　　　　　　　　　　　　　　"</f>
        <v>３４１　　　　　　　　　　　　　　　　　</v>
      </c>
      <c r="L1690" s="1"/>
    </row>
    <row r="1691" spans="1:12" ht="18" customHeight="1" x14ac:dyDescent="0.15">
      <c r="A1691" s="11">
        <v>4097</v>
      </c>
      <c r="B1691" s="11" t="s">
        <v>13</v>
      </c>
      <c r="C1691" s="11" t="s">
        <v>296</v>
      </c>
      <c r="D1691" s="11">
        <v>1</v>
      </c>
      <c r="E1691" s="11" t="s">
        <v>4</v>
      </c>
      <c r="F1691" s="12">
        <v>46900</v>
      </c>
      <c r="G1691" s="12">
        <v>46900</v>
      </c>
      <c r="H1691" s="11" t="str">
        <f t="shared" si="56"/>
        <v>平成4年12月5日</v>
      </c>
      <c r="I1691" s="22">
        <f t="shared" si="57"/>
        <v>33943</v>
      </c>
      <c r="J1691" s="1" t="str">
        <f>"00744917"</f>
        <v>00744917</v>
      </c>
      <c r="K1691" s="1" t="str">
        <f>"３４２　　　　　　　　　　　　　　　　　"</f>
        <v>３４２　　　　　　　　　　　　　　　　　</v>
      </c>
      <c r="L1691" s="1"/>
    </row>
    <row r="1692" spans="1:12" ht="18" customHeight="1" x14ac:dyDescent="0.15">
      <c r="A1692" s="11">
        <v>4098</v>
      </c>
      <c r="B1692" s="11" t="s">
        <v>13</v>
      </c>
      <c r="C1692" s="11" t="s">
        <v>296</v>
      </c>
      <c r="D1692" s="11">
        <v>1</v>
      </c>
      <c r="E1692" s="11" t="s">
        <v>4</v>
      </c>
      <c r="F1692" s="12">
        <v>46900</v>
      </c>
      <c r="G1692" s="12">
        <v>46900</v>
      </c>
      <c r="H1692" s="11" t="str">
        <f t="shared" si="56"/>
        <v>平成4年12月5日</v>
      </c>
      <c r="I1692" s="22">
        <f t="shared" si="57"/>
        <v>33943</v>
      </c>
      <c r="J1692" s="1" t="str">
        <f>"00744919"</f>
        <v>00744919</v>
      </c>
      <c r="K1692" s="1" t="str">
        <f>"３４３　　　　　　　　　　　　　　　　　"</f>
        <v>３４３　　　　　　　　　　　　　　　　　</v>
      </c>
      <c r="L1692" s="1"/>
    </row>
    <row r="1693" spans="1:12" ht="18" customHeight="1" x14ac:dyDescent="0.15">
      <c r="A1693" s="11">
        <v>4099</v>
      </c>
      <c r="B1693" s="11" t="s">
        <v>13</v>
      </c>
      <c r="C1693" s="11" t="s">
        <v>296</v>
      </c>
      <c r="D1693" s="11">
        <v>1</v>
      </c>
      <c r="E1693" s="11" t="s">
        <v>4</v>
      </c>
      <c r="F1693" s="12">
        <v>46900</v>
      </c>
      <c r="G1693" s="12">
        <v>46900</v>
      </c>
      <c r="H1693" s="11" t="str">
        <f t="shared" si="56"/>
        <v>平成4年12月5日</v>
      </c>
      <c r="I1693" s="22">
        <f t="shared" si="57"/>
        <v>33943</v>
      </c>
      <c r="J1693" s="1" t="str">
        <f>"00744921"</f>
        <v>00744921</v>
      </c>
      <c r="K1693" s="1" t="str">
        <f>"３４４　　　　　　　　　　　　　　　　　"</f>
        <v>３４４　　　　　　　　　　　　　　　　　</v>
      </c>
      <c r="L1693" s="1"/>
    </row>
    <row r="1694" spans="1:12" ht="18" customHeight="1" x14ac:dyDescent="0.15">
      <c r="A1694" s="11">
        <v>4100</v>
      </c>
      <c r="B1694" s="11" t="s">
        <v>13</v>
      </c>
      <c r="C1694" s="11" t="s">
        <v>296</v>
      </c>
      <c r="D1694" s="11">
        <v>1</v>
      </c>
      <c r="E1694" s="11" t="s">
        <v>4</v>
      </c>
      <c r="F1694" s="12">
        <v>46900</v>
      </c>
      <c r="G1694" s="12">
        <v>46900</v>
      </c>
      <c r="H1694" s="11" t="str">
        <f t="shared" si="56"/>
        <v>平成4年12月5日</v>
      </c>
      <c r="I1694" s="22">
        <f t="shared" si="57"/>
        <v>33943</v>
      </c>
      <c r="J1694" s="1" t="str">
        <f>"00744923"</f>
        <v>00744923</v>
      </c>
      <c r="K1694" s="1" t="str">
        <f>"３４５　　　　　　　　　　　　　　　　　"</f>
        <v>３４５　　　　　　　　　　　　　　　　　</v>
      </c>
      <c r="L1694" s="1"/>
    </row>
    <row r="1695" spans="1:12" ht="18" customHeight="1" x14ac:dyDescent="0.15">
      <c r="A1695" s="11">
        <v>4101</v>
      </c>
      <c r="B1695" s="11" t="s">
        <v>13</v>
      </c>
      <c r="C1695" s="11" t="s">
        <v>296</v>
      </c>
      <c r="D1695" s="11">
        <v>1</v>
      </c>
      <c r="E1695" s="11" t="s">
        <v>4</v>
      </c>
      <c r="F1695" s="12">
        <v>46900</v>
      </c>
      <c r="G1695" s="12">
        <v>46900</v>
      </c>
      <c r="H1695" s="11" t="str">
        <f t="shared" si="56"/>
        <v>平成4年12月5日</v>
      </c>
      <c r="I1695" s="22">
        <f t="shared" si="57"/>
        <v>33943</v>
      </c>
      <c r="J1695" s="1" t="str">
        <f>"00744925"</f>
        <v>00744925</v>
      </c>
      <c r="K1695" s="1" t="str">
        <f>"３４６　　　　　　　　　　　　　　　　　"</f>
        <v>３４６　　　　　　　　　　　　　　　　　</v>
      </c>
      <c r="L1695" s="1"/>
    </row>
    <row r="1696" spans="1:12" ht="18" customHeight="1" x14ac:dyDescent="0.15">
      <c r="A1696" s="11">
        <v>4102</v>
      </c>
      <c r="B1696" s="11" t="s">
        <v>13</v>
      </c>
      <c r="C1696" s="11" t="s">
        <v>296</v>
      </c>
      <c r="D1696" s="11">
        <v>1</v>
      </c>
      <c r="E1696" s="11" t="s">
        <v>4</v>
      </c>
      <c r="F1696" s="12">
        <v>46900</v>
      </c>
      <c r="G1696" s="12">
        <v>46900</v>
      </c>
      <c r="H1696" s="11" t="str">
        <f t="shared" si="56"/>
        <v>平成4年12月5日</v>
      </c>
      <c r="I1696" s="22">
        <f t="shared" si="57"/>
        <v>33943</v>
      </c>
      <c r="J1696" s="1" t="str">
        <f>"00744927"</f>
        <v>00744927</v>
      </c>
      <c r="K1696" s="1" t="str">
        <f>"３４７　　　　　　　　　　　　　　　　　"</f>
        <v>３４７　　　　　　　　　　　　　　　　　</v>
      </c>
      <c r="L1696" s="1"/>
    </row>
    <row r="1697" spans="1:12" ht="18" customHeight="1" x14ac:dyDescent="0.15">
      <c r="A1697" s="11">
        <v>4103</v>
      </c>
      <c r="B1697" s="11" t="s">
        <v>13</v>
      </c>
      <c r="C1697" s="11" t="s">
        <v>296</v>
      </c>
      <c r="D1697" s="11">
        <v>1</v>
      </c>
      <c r="E1697" s="11" t="s">
        <v>4</v>
      </c>
      <c r="F1697" s="12">
        <v>46900</v>
      </c>
      <c r="G1697" s="12">
        <v>46900</v>
      </c>
      <c r="H1697" s="11" t="str">
        <f t="shared" si="56"/>
        <v>平成4年12月5日</v>
      </c>
      <c r="I1697" s="22">
        <f t="shared" si="57"/>
        <v>33943</v>
      </c>
      <c r="J1697" s="1" t="str">
        <f>"00744929"</f>
        <v>00744929</v>
      </c>
      <c r="K1697" s="1" t="str">
        <f>"３４８　　　　　　　　　　　　　　　　　"</f>
        <v>３４８　　　　　　　　　　　　　　　　　</v>
      </c>
      <c r="L1697" s="1"/>
    </row>
    <row r="1698" spans="1:12" ht="18" customHeight="1" x14ac:dyDescent="0.15">
      <c r="A1698" s="11">
        <v>4104</v>
      </c>
      <c r="B1698" s="11" t="s">
        <v>13</v>
      </c>
      <c r="C1698" s="11" t="s">
        <v>296</v>
      </c>
      <c r="D1698" s="11">
        <v>1</v>
      </c>
      <c r="E1698" s="11" t="s">
        <v>4</v>
      </c>
      <c r="F1698" s="12">
        <v>46900</v>
      </c>
      <c r="G1698" s="12">
        <v>46900</v>
      </c>
      <c r="H1698" s="11" t="str">
        <f t="shared" si="56"/>
        <v>平成4年12月5日</v>
      </c>
      <c r="I1698" s="22">
        <f t="shared" si="57"/>
        <v>33943</v>
      </c>
      <c r="J1698" s="1" t="str">
        <f>"00744931"</f>
        <v>00744931</v>
      </c>
      <c r="K1698" s="1" t="str">
        <f>"３４９　　　　　　　　　　　　　　　　　"</f>
        <v>３４９　　　　　　　　　　　　　　　　　</v>
      </c>
      <c r="L1698" s="1"/>
    </row>
    <row r="1699" spans="1:12" ht="18" customHeight="1" x14ac:dyDescent="0.15">
      <c r="A1699" s="11">
        <v>4105</v>
      </c>
      <c r="B1699" s="11" t="s">
        <v>13</v>
      </c>
      <c r="C1699" s="11" t="s">
        <v>296</v>
      </c>
      <c r="D1699" s="11">
        <v>1</v>
      </c>
      <c r="E1699" s="11" t="s">
        <v>4</v>
      </c>
      <c r="F1699" s="12">
        <v>46900</v>
      </c>
      <c r="G1699" s="12">
        <v>46900</v>
      </c>
      <c r="H1699" s="11" t="str">
        <f t="shared" si="56"/>
        <v>平成4年12月5日</v>
      </c>
      <c r="I1699" s="22">
        <f t="shared" si="57"/>
        <v>33943</v>
      </c>
      <c r="J1699" s="1" t="str">
        <f>"00744933"</f>
        <v>00744933</v>
      </c>
      <c r="K1699" s="1" t="str">
        <f>"３５０　　　　　　　　　　　　　　　　　"</f>
        <v>３５０　　　　　　　　　　　　　　　　　</v>
      </c>
      <c r="L1699" s="1"/>
    </row>
    <row r="1700" spans="1:12" ht="18" customHeight="1" x14ac:dyDescent="0.15">
      <c r="A1700" s="11">
        <v>4106</v>
      </c>
      <c r="B1700" s="11" t="s">
        <v>13</v>
      </c>
      <c r="C1700" s="11" t="s">
        <v>296</v>
      </c>
      <c r="D1700" s="11">
        <v>1</v>
      </c>
      <c r="E1700" s="11" t="s">
        <v>4</v>
      </c>
      <c r="F1700" s="12">
        <v>46900</v>
      </c>
      <c r="G1700" s="12">
        <v>46900</v>
      </c>
      <c r="H1700" s="11" t="str">
        <f t="shared" si="56"/>
        <v>平成4年12月5日</v>
      </c>
      <c r="I1700" s="22">
        <f t="shared" si="57"/>
        <v>33943</v>
      </c>
      <c r="J1700" s="1" t="str">
        <f>"00744937"</f>
        <v>00744937</v>
      </c>
      <c r="K1700" s="1" t="str">
        <f>"３５２　　　　　　　　　　　　　　　　　"</f>
        <v>３５２　　　　　　　　　　　　　　　　　</v>
      </c>
      <c r="L1700" s="1"/>
    </row>
    <row r="1701" spans="1:12" ht="18" customHeight="1" x14ac:dyDescent="0.15">
      <c r="A1701" s="11">
        <v>4107</v>
      </c>
      <c r="B1701" s="11" t="s">
        <v>13</v>
      </c>
      <c r="C1701" s="11" t="s">
        <v>296</v>
      </c>
      <c r="D1701" s="11">
        <v>1</v>
      </c>
      <c r="E1701" s="11" t="s">
        <v>4</v>
      </c>
      <c r="F1701" s="12">
        <v>46900</v>
      </c>
      <c r="G1701" s="12">
        <v>46900</v>
      </c>
      <c r="H1701" s="11" t="str">
        <f t="shared" si="56"/>
        <v>平成4年12月5日</v>
      </c>
      <c r="I1701" s="22">
        <f t="shared" si="57"/>
        <v>33943</v>
      </c>
      <c r="J1701" s="1" t="str">
        <f>"00744939"</f>
        <v>00744939</v>
      </c>
      <c r="K1701" s="1" t="str">
        <f>"３５３　　　　　　　　　　　　　　　　　"</f>
        <v>３５３　　　　　　　　　　　　　　　　　</v>
      </c>
      <c r="L1701" s="1"/>
    </row>
    <row r="1702" spans="1:12" ht="18" customHeight="1" x14ac:dyDescent="0.15">
      <c r="A1702" s="11">
        <v>4108</v>
      </c>
      <c r="B1702" s="11" t="s">
        <v>13</v>
      </c>
      <c r="C1702" s="11" t="s">
        <v>296</v>
      </c>
      <c r="D1702" s="11">
        <v>1</v>
      </c>
      <c r="E1702" s="11" t="s">
        <v>4</v>
      </c>
      <c r="F1702" s="12">
        <v>46900</v>
      </c>
      <c r="G1702" s="12">
        <v>46900</v>
      </c>
      <c r="H1702" s="11" t="str">
        <f t="shared" si="56"/>
        <v>平成4年12月5日</v>
      </c>
      <c r="I1702" s="22">
        <f t="shared" si="57"/>
        <v>33943</v>
      </c>
      <c r="J1702" s="1" t="str">
        <f>"00744943"</f>
        <v>00744943</v>
      </c>
      <c r="K1702" s="1" t="str">
        <f>"３５５　　　　　　　　　　　　　　　　　"</f>
        <v>３５５　　　　　　　　　　　　　　　　　</v>
      </c>
      <c r="L1702" s="1"/>
    </row>
    <row r="1703" spans="1:12" ht="18" customHeight="1" x14ac:dyDescent="0.15">
      <c r="A1703" s="11">
        <v>4109</v>
      </c>
      <c r="B1703" s="11" t="s">
        <v>13</v>
      </c>
      <c r="C1703" s="11" t="s">
        <v>296</v>
      </c>
      <c r="D1703" s="11">
        <v>1</v>
      </c>
      <c r="E1703" s="11" t="s">
        <v>4</v>
      </c>
      <c r="F1703" s="12">
        <v>46900</v>
      </c>
      <c r="G1703" s="12">
        <v>46900</v>
      </c>
      <c r="H1703" s="11" t="str">
        <f t="shared" si="56"/>
        <v>平成4年12月5日</v>
      </c>
      <c r="I1703" s="22">
        <f t="shared" si="57"/>
        <v>33943</v>
      </c>
      <c r="J1703" s="1" t="str">
        <f>"00744945"</f>
        <v>00744945</v>
      </c>
      <c r="K1703" s="1" t="str">
        <f>"３５６　　　　　　　　　　　　　　　　　"</f>
        <v>３５６　　　　　　　　　　　　　　　　　</v>
      </c>
      <c r="L1703" s="1"/>
    </row>
    <row r="1704" spans="1:12" ht="18" customHeight="1" x14ac:dyDescent="0.15">
      <c r="A1704" s="11">
        <v>4110</v>
      </c>
      <c r="B1704" s="11" t="s">
        <v>13</v>
      </c>
      <c r="C1704" s="11" t="s">
        <v>296</v>
      </c>
      <c r="D1704" s="11">
        <v>1</v>
      </c>
      <c r="E1704" s="11" t="s">
        <v>4</v>
      </c>
      <c r="F1704" s="12">
        <v>46900</v>
      </c>
      <c r="G1704" s="12">
        <v>46900</v>
      </c>
      <c r="H1704" s="11" t="str">
        <f t="shared" si="56"/>
        <v>平成4年12月5日</v>
      </c>
      <c r="I1704" s="22">
        <f t="shared" si="57"/>
        <v>33943</v>
      </c>
      <c r="J1704" s="1" t="str">
        <f>"00744947"</f>
        <v>00744947</v>
      </c>
      <c r="K1704" s="1" t="str">
        <f>"３５７　　　　　　　　　　　　　　　　　"</f>
        <v>３５７　　　　　　　　　　　　　　　　　</v>
      </c>
      <c r="L1704" s="1"/>
    </row>
    <row r="1705" spans="1:12" ht="18" customHeight="1" x14ac:dyDescent="0.15">
      <c r="A1705" s="11">
        <v>4111</v>
      </c>
      <c r="B1705" s="11" t="s">
        <v>13</v>
      </c>
      <c r="C1705" s="11" t="s">
        <v>296</v>
      </c>
      <c r="D1705" s="11">
        <v>1</v>
      </c>
      <c r="E1705" s="11" t="s">
        <v>4</v>
      </c>
      <c r="F1705" s="12">
        <v>46900</v>
      </c>
      <c r="G1705" s="12">
        <v>46900</v>
      </c>
      <c r="H1705" s="11" t="str">
        <f t="shared" si="56"/>
        <v>平成4年12月5日</v>
      </c>
      <c r="I1705" s="22">
        <f t="shared" si="57"/>
        <v>33943</v>
      </c>
      <c r="J1705" s="1" t="str">
        <f>"00744949"</f>
        <v>00744949</v>
      </c>
      <c r="K1705" s="1" t="str">
        <f>"３５８　　　　　　　　　　　　　　　　　"</f>
        <v>３５８　　　　　　　　　　　　　　　　　</v>
      </c>
      <c r="L1705" s="1"/>
    </row>
    <row r="1706" spans="1:12" ht="18" customHeight="1" x14ac:dyDescent="0.15">
      <c r="A1706" s="11">
        <v>4112</v>
      </c>
      <c r="B1706" s="11" t="s">
        <v>13</v>
      </c>
      <c r="C1706" s="11" t="s">
        <v>296</v>
      </c>
      <c r="D1706" s="11">
        <v>1</v>
      </c>
      <c r="E1706" s="11" t="s">
        <v>4</v>
      </c>
      <c r="F1706" s="12">
        <v>46900</v>
      </c>
      <c r="G1706" s="12">
        <v>46900</v>
      </c>
      <c r="H1706" s="11" t="str">
        <f t="shared" si="56"/>
        <v>平成4年12月5日</v>
      </c>
      <c r="I1706" s="22">
        <f t="shared" si="57"/>
        <v>33943</v>
      </c>
      <c r="J1706" s="1" t="str">
        <f>"00744951"</f>
        <v>00744951</v>
      </c>
      <c r="K1706" s="1" t="str">
        <f>"３５９　　　　　　　　　　　　　　　　　"</f>
        <v>３５９　　　　　　　　　　　　　　　　　</v>
      </c>
      <c r="L1706" s="1"/>
    </row>
    <row r="1707" spans="1:12" ht="18" customHeight="1" x14ac:dyDescent="0.15">
      <c r="A1707" s="11">
        <v>4113</v>
      </c>
      <c r="B1707" s="11" t="s">
        <v>13</v>
      </c>
      <c r="C1707" s="11" t="s">
        <v>296</v>
      </c>
      <c r="D1707" s="11">
        <v>1</v>
      </c>
      <c r="E1707" s="11" t="s">
        <v>4</v>
      </c>
      <c r="F1707" s="12">
        <v>46900</v>
      </c>
      <c r="G1707" s="12">
        <v>46900</v>
      </c>
      <c r="H1707" s="11" t="str">
        <f t="shared" si="56"/>
        <v>平成4年12月5日</v>
      </c>
      <c r="I1707" s="22">
        <f t="shared" si="57"/>
        <v>33943</v>
      </c>
      <c r="J1707" s="1" t="str">
        <f>"00744953"</f>
        <v>00744953</v>
      </c>
      <c r="K1707" s="1" t="str">
        <f>"３６０　　　　　　　　　　　　　　　　　"</f>
        <v>３６０　　　　　　　　　　　　　　　　　</v>
      </c>
      <c r="L1707" s="1"/>
    </row>
    <row r="1708" spans="1:12" ht="18" customHeight="1" x14ac:dyDescent="0.15">
      <c r="A1708" s="11">
        <v>4114</v>
      </c>
      <c r="B1708" s="11" t="s">
        <v>13</v>
      </c>
      <c r="C1708" s="11" t="s">
        <v>296</v>
      </c>
      <c r="D1708" s="11">
        <v>1</v>
      </c>
      <c r="E1708" s="11" t="s">
        <v>4</v>
      </c>
      <c r="F1708" s="12">
        <v>46900</v>
      </c>
      <c r="G1708" s="12">
        <v>46900</v>
      </c>
      <c r="H1708" s="11" t="str">
        <f t="shared" si="56"/>
        <v>平成4年12月5日</v>
      </c>
      <c r="I1708" s="22">
        <f t="shared" si="57"/>
        <v>33943</v>
      </c>
      <c r="J1708" s="1" t="str">
        <f>"00744955"</f>
        <v>00744955</v>
      </c>
      <c r="K1708" s="1" t="str">
        <f>"３６１　　　　　　　　　　　　　　　　　"</f>
        <v>３６１　　　　　　　　　　　　　　　　　</v>
      </c>
      <c r="L1708" s="1"/>
    </row>
    <row r="1709" spans="1:12" ht="18" customHeight="1" x14ac:dyDescent="0.15">
      <c r="A1709" s="11">
        <v>4115</v>
      </c>
      <c r="B1709" s="11" t="s">
        <v>13</v>
      </c>
      <c r="C1709" s="11" t="s">
        <v>296</v>
      </c>
      <c r="D1709" s="11">
        <v>1</v>
      </c>
      <c r="E1709" s="11" t="s">
        <v>4</v>
      </c>
      <c r="F1709" s="12">
        <v>46900</v>
      </c>
      <c r="G1709" s="12">
        <v>46900</v>
      </c>
      <c r="H1709" s="11" t="str">
        <f t="shared" si="56"/>
        <v>平成4年12月5日</v>
      </c>
      <c r="I1709" s="22">
        <f t="shared" si="57"/>
        <v>33943</v>
      </c>
      <c r="J1709" s="1" t="str">
        <f>"00744957"</f>
        <v>00744957</v>
      </c>
      <c r="K1709" s="1" t="str">
        <f>"３６２　　　　　　　　　　　　　　　　　"</f>
        <v>３６２　　　　　　　　　　　　　　　　　</v>
      </c>
      <c r="L1709" s="1"/>
    </row>
    <row r="1710" spans="1:12" ht="18" customHeight="1" x14ac:dyDescent="0.15">
      <c r="A1710" s="11">
        <v>4116</v>
      </c>
      <c r="B1710" s="11" t="s">
        <v>13</v>
      </c>
      <c r="C1710" s="11" t="s">
        <v>296</v>
      </c>
      <c r="D1710" s="11">
        <v>1</v>
      </c>
      <c r="E1710" s="11" t="s">
        <v>4</v>
      </c>
      <c r="F1710" s="12">
        <v>46900</v>
      </c>
      <c r="G1710" s="12">
        <v>46900</v>
      </c>
      <c r="H1710" s="11" t="str">
        <f t="shared" ref="H1710:H1773" si="58">"平成4年12月5日"</f>
        <v>平成4年12月5日</v>
      </c>
      <c r="I1710" s="22">
        <f t="shared" si="57"/>
        <v>33943</v>
      </c>
      <c r="J1710" s="1" t="str">
        <f>"00744961"</f>
        <v>00744961</v>
      </c>
      <c r="K1710" s="1" t="str">
        <f>"３６４　　　　　　　　　　　　　　　　　"</f>
        <v>３６４　　　　　　　　　　　　　　　　　</v>
      </c>
      <c r="L1710" s="1"/>
    </row>
    <row r="1711" spans="1:12" ht="18" customHeight="1" x14ac:dyDescent="0.15">
      <c r="A1711" s="11">
        <v>4117</v>
      </c>
      <c r="B1711" s="11" t="s">
        <v>13</v>
      </c>
      <c r="C1711" s="11" t="s">
        <v>296</v>
      </c>
      <c r="D1711" s="11">
        <v>1</v>
      </c>
      <c r="E1711" s="11" t="s">
        <v>4</v>
      </c>
      <c r="F1711" s="12">
        <v>46900</v>
      </c>
      <c r="G1711" s="12">
        <v>46900</v>
      </c>
      <c r="H1711" s="11" t="str">
        <f t="shared" si="58"/>
        <v>平成4年12月5日</v>
      </c>
      <c r="I1711" s="22">
        <f t="shared" si="57"/>
        <v>33943</v>
      </c>
      <c r="J1711" s="1" t="str">
        <f>"00744963"</f>
        <v>00744963</v>
      </c>
      <c r="K1711" s="1" t="str">
        <f>"３６５　　　　　　　　　　　　　　　　　"</f>
        <v>３６５　　　　　　　　　　　　　　　　　</v>
      </c>
      <c r="L1711" s="1"/>
    </row>
    <row r="1712" spans="1:12" ht="18" customHeight="1" x14ac:dyDescent="0.15">
      <c r="A1712" s="11">
        <v>4118</v>
      </c>
      <c r="B1712" s="11" t="s">
        <v>13</v>
      </c>
      <c r="C1712" s="11" t="s">
        <v>296</v>
      </c>
      <c r="D1712" s="11">
        <v>1</v>
      </c>
      <c r="E1712" s="11" t="s">
        <v>4</v>
      </c>
      <c r="F1712" s="12">
        <v>46900</v>
      </c>
      <c r="G1712" s="12">
        <v>46900</v>
      </c>
      <c r="H1712" s="11" t="str">
        <f t="shared" si="58"/>
        <v>平成4年12月5日</v>
      </c>
      <c r="I1712" s="22">
        <f t="shared" si="57"/>
        <v>33943</v>
      </c>
      <c r="J1712" s="1" t="str">
        <f>"00744965"</f>
        <v>00744965</v>
      </c>
      <c r="K1712" s="1" t="str">
        <f>"３６６　　　　　　　　　　　　　　　　　"</f>
        <v>３６６　　　　　　　　　　　　　　　　　</v>
      </c>
      <c r="L1712" s="1"/>
    </row>
    <row r="1713" spans="1:12" ht="18" customHeight="1" x14ac:dyDescent="0.15">
      <c r="A1713" s="11">
        <v>4119</v>
      </c>
      <c r="B1713" s="11" t="s">
        <v>13</v>
      </c>
      <c r="C1713" s="11" t="s">
        <v>296</v>
      </c>
      <c r="D1713" s="11">
        <v>1</v>
      </c>
      <c r="E1713" s="11" t="s">
        <v>4</v>
      </c>
      <c r="F1713" s="12">
        <v>46900</v>
      </c>
      <c r="G1713" s="12">
        <v>46900</v>
      </c>
      <c r="H1713" s="11" t="str">
        <f t="shared" si="58"/>
        <v>平成4年12月5日</v>
      </c>
      <c r="I1713" s="22">
        <f t="shared" si="57"/>
        <v>33943</v>
      </c>
      <c r="J1713" s="1" t="str">
        <f>"00744967"</f>
        <v>00744967</v>
      </c>
      <c r="K1713" s="1" t="str">
        <f>"３６７　　　　　　　　　　　　　　　　　"</f>
        <v>３６７　　　　　　　　　　　　　　　　　</v>
      </c>
      <c r="L1713" s="1"/>
    </row>
    <row r="1714" spans="1:12" ht="18" customHeight="1" x14ac:dyDescent="0.15">
      <c r="A1714" s="11">
        <v>4120</v>
      </c>
      <c r="B1714" s="11" t="s">
        <v>13</v>
      </c>
      <c r="C1714" s="11" t="s">
        <v>296</v>
      </c>
      <c r="D1714" s="11">
        <v>1</v>
      </c>
      <c r="E1714" s="11" t="s">
        <v>4</v>
      </c>
      <c r="F1714" s="12">
        <v>46900</v>
      </c>
      <c r="G1714" s="12">
        <v>46900</v>
      </c>
      <c r="H1714" s="11" t="str">
        <f t="shared" si="58"/>
        <v>平成4年12月5日</v>
      </c>
      <c r="I1714" s="22">
        <f t="shared" si="57"/>
        <v>33943</v>
      </c>
      <c r="J1714" s="1" t="str">
        <f>"00744969"</f>
        <v>00744969</v>
      </c>
      <c r="K1714" s="1" t="str">
        <f>"３６８　　　　　　　　　　　　　　　　　"</f>
        <v>３６８　　　　　　　　　　　　　　　　　</v>
      </c>
      <c r="L1714" s="1"/>
    </row>
    <row r="1715" spans="1:12" ht="18" customHeight="1" x14ac:dyDescent="0.15">
      <c r="A1715" s="11">
        <v>4121</v>
      </c>
      <c r="B1715" s="11" t="s">
        <v>13</v>
      </c>
      <c r="C1715" s="11" t="s">
        <v>296</v>
      </c>
      <c r="D1715" s="11">
        <v>1</v>
      </c>
      <c r="E1715" s="11" t="s">
        <v>4</v>
      </c>
      <c r="F1715" s="12">
        <v>46900</v>
      </c>
      <c r="G1715" s="12">
        <v>46900</v>
      </c>
      <c r="H1715" s="11" t="str">
        <f t="shared" si="58"/>
        <v>平成4年12月5日</v>
      </c>
      <c r="I1715" s="22">
        <f t="shared" si="57"/>
        <v>33943</v>
      </c>
      <c r="J1715" s="1" t="str">
        <f>"00744971"</f>
        <v>00744971</v>
      </c>
      <c r="K1715" s="1" t="str">
        <f>"３６９　　　　　　　　　　　　　　　　　"</f>
        <v>３６９　　　　　　　　　　　　　　　　　</v>
      </c>
      <c r="L1715" s="1"/>
    </row>
    <row r="1716" spans="1:12" ht="18" customHeight="1" x14ac:dyDescent="0.15">
      <c r="A1716" s="11">
        <v>4122</v>
      </c>
      <c r="B1716" s="11" t="s">
        <v>13</v>
      </c>
      <c r="C1716" s="11" t="s">
        <v>296</v>
      </c>
      <c r="D1716" s="11">
        <v>1</v>
      </c>
      <c r="E1716" s="11" t="s">
        <v>4</v>
      </c>
      <c r="F1716" s="12">
        <v>46900</v>
      </c>
      <c r="G1716" s="12">
        <v>46900</v>
      </c>
      <c r="H1716" s="11" t="str">
        <f t="shared" si="58"/>
        <v>平成4年12月5日</v>
      </c>
      <c r="I1716" s="22">
        <f t="shared" si="57"/>
        <v>33943</v>
      </c>
      <c r="J1716" s="1" t="str">
        <f>"00744973"</f>
        <v>00744973</v>
      </c>
      <c r="K1716" s="1" t="str">
        <f>"３７０　　　　　　　　　　　　　　　　　"</f>
        <v>３７０　　　　　　　　　　　　　　　　　</v>
      </c>
      <c r="L1716" s="1"/>
    </row>
    <row r="1717" spans="1:12" ht="18" customHeight="1" x14ac:dyDescent="0.15">
      <c r="A1717" s="11">
        <v>4123</v>
      </c>
      <c r="B1717" s="11" t="s">
        <v>13</v>
      </c>
      <c r="C1717" s="11" t="s">
        <v>296</v>
      </c>
      <c r="D1717" s="11">
        <v>1</v>
      </c>
      <c r="E1717" s="11" t="s">
        <v>4</v>
      </c>
      <c r="F1717" s="12">
        <v>46900</v>
      </c>
      <c r="G1717" s="12">
        <v>46900</v>
      </c>
      <c r="H1717" s="11" t="str">
        <f t="shared" si="58"/>
        <v>平成4年12月5日</v>
      </c>
      <c r="I1717" s="22">
        <f t="shared" si="57"/>
        <v>33943</v>
      </c>
      <c r="J1717" s="1" t="str">
        <f>"00744977"</f>
        <v>00744977</v>
      </c>
      <c r="K1717" s="1" t="str">
        <f>"３７２　　　　　　　　　　　　　　　　　"</f>
        <v>３７２　　　　　　　　　　　　　　　　　</v>
      </c>
      <c r="L1717" s="1"/>
    </row>
    <row r="1718" spans="1:12" ht="18" customHeight="1" x14ac:dyDescent="0.15">
      <c r="A1718" s="11">
        <v>4124</v>
      </c>
      <c r="B1718" s="11" t="s">
        <v>13</v>
      </c>
      <c r="C1718" s="11" t="s">
        <v>296</v>
      </c>
      <c r="D1718" s="11">
        <v>1</v>
      </c>
      <c r="E1718" s="11" t="s">
        <v>4</v>
      </c>
      <c r="F1718" s="12">
        <v>46900</v>
      </c>
      <c r="G1718" s="12">
        <v>46900</v>
      </c>
      <c r="H1718" s="11" t="str">
        <f t="shared" si="58"/>
        <v>平成4年12月5日</v>
      </c>
      <c r="I1718" s="22">
        <f t="shared" si="57"/>
        <v>33943</v>
      </c>
      <c r="J1718" s="1" t="str">
        <f>"00744979"</f>
        <v>00744979</v>
      </c>
      <c r="K1718" s="1" t="str">
        <f>"３７３　　　　　　　　　　　　　　　　　"</f>
        <v>３７３　　　　　　　　　　　　　　　　　</v>
      </c>
      <c r="L1718" s="1"/>
    </row>
    <row r="1719" spans="1:12" ht="18" customHeight="1" x14ac:dyDescent="0.15">
      <c r="A1719" s="11">
        <v>4125</v>
      </c>
      <c r="B1719" s="11" t="s">
        <v>13</v>
      </c>
      <c r="C1719" s="11" t="s">
        <v>296</v>
      </c>
      <c r="D1719" s="11">
        <v>1</v>
      </c>
      <c r="E1719" s="11" t="s">
        <v>4</v>
      </c>
      <c r="F1719" s="12">
        <v>46900</v>
      </c>
      <c r="G1719" s="12">
        <v>46900</v>
      </c>
      <c r="H1719" s="11" t="str">
        <f t="shared" si="58"/>
        <v>平成4年12月5日</v>
      </c>
      <c r="I1719" s="22">
        <f t="shared" si="57"/>
        <v>33943</v>
      </c>
      <c r="J1719" s="1" t="str">
        <f>"00744981"</f>
        <v>00744981</v>
      </c>
      <c r="K1719" s="1" t="str">
        <f>"３７４　　　　　　　　　　　　　　　　　"</f>
        <v>３７４　　　　　　　　　　　　　　　　　</v>
      </c>
      <c r="L1719" s="1"/>
    </row>
    <row r="1720" spans="1:12" ht="18" customHeight="1" x14ac:dyDescent="0.15">
      <c r="A1720" s="11">
        <v>4126</v>
      </c>
      <c r="B1720" s="11" t="s">
        <v>13</v>
      </c>
      <c r="C1720" s="11" t="s">
        <v>296</v>
      </c>
      <c r="D1720" s="11">
        <v>1</v>
      </c>
      <c r="E1720" s="11" t="s">
        <v>4</v>
      </c>
      <c r="F1720" s="12">
        <v>46900</v>
      </c>
      <c r="G1720" s="12">
        <v>46900</v>
      </c>
      <c r="H1720" s="11" t="str">
        <f t="shared" si="58"/>
        <v>平成4年12月5日</v>
      </c>
      <c r="I1720" s="22">
        <f t="shared" si="57"/>
        <v>33943</v>
      </c>
      <c r="J1720" s="1" t="str">
        <f>"00744987"</f>
        <v>00744987</v>
      </c>
      <c r="K1720" s="1" t="str">
        <f>"３７７　　　　　　　　　　　　　　　　　"</f>
        <v>３７７　　　　　　　　　　　　　　　　　</v>
      </c>
      <c r="L1720" s="1"/>
    </row>
    <row r="1721" spans="1:12" ht="18" customHeight="1" x14ac:dyDescent="0.15">
      <c r="A1721" s="11">
        <v>4127</v>
      </c>
      <c r="B1721" s="11" t="s">
        <v>13</v>
      </c>
      <c r="C1721" s="11" t="s">
        <v>296</v>
      </c>
      <c r="D1721" s="11">
        <v>1</v>
      </c>
      <c r="E1721" s="11" t="s">
        <v>4</v>
      </c>
      <c r="F1721" s="12">
        <v>46900</v>
      </c>
      <c r="G1721" s="12">
        <v>46900</v>
      </c>
      <c r="H1721" s="11" t="str">
        <f t="shared" si="58"/>
        <v>平成4年12月5日</v>
      </c>
      <c r="I1721" s="22">
        <f t="shared" si="57"/>
        <v>33943</v>
      </c>
      <c r="J1721" s="1" t="str">
        <f>"00745003"</f>
        <v>00745003</v>
      </c>
      <c r="K1721" s="1" t="str">
        <f>"３８５　　　　　　　　　　　　　　　　　"</f>
        <v>３８５　　　　　　　　　　　　　　　　　</v>
      </c>
      <c r="L1721" s="1"/>
    </row>
    <row r="1722" spans="1:12" ht="18" customHeight="1" x14ac:dyDescent="0.15">
      <c r="A1722" s="11">
        <v>4128</v>
      </c>
      <c r="B1722" s="11" t="s">
        <v>13</v>
      </c>
      <c r="C1722" s="11" t="s">
        <v>296</v>
      </c>
      <c r="D1722" s="11">
        <v>1</v>
      </c>
      <c r="E1722" s="11" t="s">
        <v>4</v>
      </c>
      <c r="F1722" s="12">
        <v>46900</v>
      </c>
      <c r="G1722" s="12">
        <v>46900</v>
      </c>
      <c r="H1722" s="11" t="str">
        <f t="shared" si="58"/>
        <v>平成4年12月5日</v>
      </c>
      <c r="I1722" s="22">
        <f t="shared" si="57"/>
        <v>33943</v>
      </c>
      <c r="J1722" s="1" t="str">
        <f>"00745011"</f>
        <v>00745011</v>
      </c>
      <c r="K1722" s="1" t="str">
        <f>"３８９　　　　　　　　　　　　　　　　　"</f>
        <v>３８９　　　　　　　　　　　　　　　　　</v>
      </c>
      <c r="L1722" s="1"/>
    </row>
    <row r="1723" spans="1:12" ht="18" customHeight="1" x14ac:dyDescent="0.15">
      <c r="A1723" s="11">
        <v>4129</v>
      </c>
      <c r="B1723" s="11" t="s">
        <v>13</v>
      </c>
      <c r="C1723" s="11" t="s">
        <v>14</v>
      </c>
      <c r="D1723" s="11">
        <v>1</v>
      </c>
      <c r="E1723" s="11" t="s">
        <v>4</v>
      </c>
      <c r="F1723" s="12">
        <v>257149</v>
      </c>
      <c r="G1723" s="12">
        <v>257149</v>
      </c>
      <c r="H1723" s="11" t="str">
        <f t="shared" si="58"/>
        <v>平成4年12月5日</v>
      </c>
      <c r="I1723" s="22">
        <f t="shared" si="57"/>
        <v>33943</v>
      </c>
      <c r="J1723" s="1" t="str">
        <f>"00745015"</f>
        <v>00745015</v>
      </c>
      <c r="K1723" s="1" t="str">
        <f>"３９２　　　　　　　　　　　　　　　　　"</f>
        <v>３９２　　　　　　　　　　　　　　　　　</v>
      </c>
      <c r="L1723" s="1"/>
    </row>
    <row r="1724" spans="1:12" ht="18" customHeight="1" x14ac:dyDescent="0.15">
      <c r="A1724" s="11">
        <v>4130</v>
      </c>
      <c r="B1724" s="11" t="s">
        <v>58</v>
      </c>
      <c r="C1724" s="11" t="s">
        <v>297</v>
      </c>
      <c r="D1724" s="11">
        <v>1</v>
      </c>
      <c r="E1724" s="11" t="s">
        <v>17</v>
      </c>
      <c r="F1724" s="12">
        <v>38100</v>
      </c>
      <c r="G1724" s="12">
        <v>38100</v>
      </c>
      <c r="H1724" s="11" t="str">
        <f t="shared" si="58"/>
        <v>平成4年12月5日</v>
      </c>
      <c r="I1724" s="22">
        <f t="shared" si="57"/>
        <v>33943</v>
      </c>
      <c r="J1724" s="1" t="str">
        <f>"00745047"</f>
        <v>00745047</v>
      </c>
      <c r="K1724" s="1" t="str">
        <f>"３０７　　　　　　　　　　　　　　　　　"</f>
        <v>３０７　　　　　　　　　　　　　　　　　</v>
      </c>
      <c r="L1724" s="1"/>
    </row>
    <row r="1725" spans="1:12" ht="18" customHeight="1" x14ac:dyDescent="0.15">
      <c r="A1725" s="11">
        <v>4131</v>
      </c>
      <c r="B1725" s="11" t="s">
        <v>58</v>
      </c>
      <c r="C1725" s="11" t="s">
        <v>298</v>
      </c>
      <c r="D1725" s="11">
        <v>1</v>
      </c>
      <c r="E1725" s="11" t="s">
        <v>17</v>
      </c>
      <c r="F1725" s="12">
        <v>48400</v>
      </c>
      <c r="G1725" s="12">
        <v>48400</v>
      </c>
      <c r="H1725" s="11" t="str">
        <f t="shared" si="58"/>
        <v>平成4年12月5日</v>
      </c>
      <c r="I1725" s="22">
        <f t="shared" si="57"/>
        <v>33943</v>
      </c>
      <c r="J1725" s="1" t="str">
        <f>"00745049"</f>
        <v>00745049</v>
      </c>
      <c r="K1725" s="1" t="str">
        <f>"３０９　　　　　　　　　　　　　　　　　"</f>
        <v>３０９　　　　　　　　　　　　　　　　　</v>
      </c>
      <c r="L1725" s="1"/>
    </row>
    <row r="1726" spans="1:12" ht="18" customHeight="1" x14ac:dyDescent="0.15">
      <c r="A1726" s="11">
        <v>4132</v>
      </c>
      <c r="B1726" s="11" t="s">
        <v>58</v>
      </c>
      <c r="C1726" s="11" t="s">
        <v>298</v>
      </c>
      <c r="D1726" s="11">
        <v>1</v>
      </c>
      <c r="E1726" s="11" t="s">
        <v>17</v>
      </c>
      <c r="F1726" s="12">
        <v>48400</v>
      </c>
      <c r="G1726" s="12">
        <v>48400</v>
      </c>
      <c r="H1726" s="11" t="str">
        <f t="shared" si="58"/>
        <v>平成4年12月5日</v>
      </c>
      <c r="I1726" s="22">
        <f t="shared" si="57"/>
        <v>33943</v>
      </c>
      <c r="J1726" s="1" t="str">
        <f>"00745051"</f>
        <v>00745051</v>
      </c>
      <c r="K1726" s="1" t="str">
        <f>"３１０　　　　　　　　　　　　　　　　　"</f>
        <v>３１０　　　　　　　　　　　　　　　　　</v>
      </c>
      <c r="L1726" s="1"/>
    </row>
    <row r="1727" spans="1:12" ht="18" customHeight="1" x14ac:dyDescent="0.15">
      <c r="A1727" s="11">
        <v>4133</v>
      </c>
      <c r="B1727" s="11" t="s">
        <v>58</v>
      </c>
      <c r="C1727" s="11" t="s">
        <v>298</v>
      </c>
      <c r="D1727" s="11">
        <v>1</v>
      </c>
      <c r="E1727" s="11" t="s">
        <v>17</v>
      </c>
      <c r="F1727" s="12">
        <v>48400</v>
      </c>
      <c r="G1727" s="12">
        <v>48400</v>
      </c>
      <c r="H1727" s="11" t="str">
        <f t="shared" si="58"/>
        <v>平成4年12月5日</v>
      </c>
      <c r="I1727" s="22">
        <f t="shared" si="57"/>
        <v>33943</v>
      </c>
      <c r="J1727" s="1" t="str">
        <f>"00745053"</f>
        <v>00745053</v>
      </c>
      <c r="K1727" s="1" t="str">
        <f>"３１３　　　　　　　　　　　　　　　　　"</f>
        <v>３１３　　　　　　　　　　　　　　　　　</v>
      </c>
      <c r="L1727" s="1"/>
    </row>
    <row r="1728" spans="1:12" ht="18" customHeight="1" x14ac:dyDescent="0.15">
      <c r="A1728" s="11">
        <v>4134</v>
      </c>
      <c r="B1728" s="11" t="s">
        <v>58</v>
      </c>
      <c r="C1728" s="11" t="s">
        <v>298</v>
      </c>
      <c r="D1728" s="11">
        <v>1</v>
      </c>
      <c r="E1728" s="11" t="s">
        <v>17</v>
      </c>
      <c r="F1728" s="12">
        <v>48400</v>
      </c>
      <c r="G1728" s="12">
        <v>48400</v>
      </c>
      <c r="H1728" s="11" t="str">
        <f t="shared" si="58"/>
        <v>平成4年12月5日</v>
      </c>
      <c r="I1728" s="22">
        <f t="shared" si="57"/>
        <v>33943</v>
      </c>
      <c r="J1728" s="1" t="str">
        <f>"00745055"</f>
        <v>00745055</v>
      </c>
      <c r="K1728" s="1" t="str">
        <f>"３１４　　　　　　　　　　　　　　　　　"</f>
        <v>３１４　　　　　　　　　　　　　　　　　</v>
      </c>
      <c r="L1728" s="1"/>
    </row>
    <row r="1729" spans="1:12" ht="18" customHeight="1" x14ac:dyDescent="0.15">
      <c r="A1729" s="11">
        <v>4135</v>
      </c>
      <c r="B1729" s="11" t="s">
        <v>58</v>
      </c>
      <c r="C1729" s="11" t="s">
        <v>298</v>
      </c>
      <c r="D1729" s="11">
        <v>1</v>
      </c>
      <c r="E1729" s="11" t="s">
        <v>17</v>
      </c>
      <c r="F1729" s="12">
        <v>48400</v>
      </c>
      <c r="G1729" s="12">
        <v>48400</v>
      </c>
      <c r="H1729" s="11" t="str">
        <f t="shared" si="58"/>
        <v>平成4年12月5日</v>
      </c>
      <c r="I1729" s="22">
        <f t="shared" si="57"/>
        <v>33943</v>
      </c>
      <c r="J1729" s="1" t="str">
        <f>"00745057"</f>
        <v>00745057</v>
      </c>
      <c r="K1729" s="1" t="str">
        <f>"３１５　　　　　　　　　　　　　　　　　"</f>
        <v>３１５　　　　　　　　　　　　　　　　　</v>
      </c>
      <c r="L1729" s="1"/>
    </row>
    <row r="1730" spans="1:12" ht="18" customHeight="1" x14ac:dyDescent="0.15">
      <c r="A1730" s="11">
        <v>4136</v>
      </c>
      <c r="B1730" s="11" t="s">
        <v>58</v>
      </c>
      <c r="C1730" s="11" t="s">
        <v>298</v>
      </c>
      <c r="D1730" s="11">
        <v>1</v>
      </c>
      <c r="E1730" s="11" t="s">
        <v>17</v>
      </c>
      <c r="F1730" s="12">
        <v>48400</v>
      </c>
      <c r="G1730" s="12">
        <v>48400</v>
      </c>
      <c r="H1730" s="11" t="str">
        <f t="shared" si="58"/>
        <v>平成4年12月5日</v>
      </c>
      <c r="I1730" s="22">
        <f t="shared" si="57"/>
        <v>33943</v>
      </c>
      <c r="J1730" s="1" t="str">
        <f>"00745059"</f>
        <v>00745059</v>
      </c>
      <c r="K1730" s="1" t="str">
        <f>"３１６　　　　　　　　　　　　　　　　　"</f>
        <v>３１６　　　　　　　　　　　　　　　　　</v>
      </c>
      <c r="L1730" s="1"/>
    </row>
    <row r="1731" spans="1:12" ht="18" customHeight="1" x14ac:dyDescent="0.15">
      <c r="A1731" s="11">
        <v>4137</v>
      </c>
      <c r="B1731" s="11" t="s">
        <v>58</v>
      </c>
      <c r="C1731" s="11" t="s">
        <v>298</v>
      </c>
      <c r="D1731" s="11">
        <v>1</v>
      </c>
      <c r="E1731" s="11" t="s">
        <v>17</v>
      </c>
      <c r="F1731" s="12">
        <v>48400</v>
      </c>
      <c r="G1731" s="12">
        <v>48400</v>
      </c>
      <c r="H1731" s="11" t="str">
        <f t="shared" si="58"/>
        <v>平成4年12月5日</v>
      </c>
      <c r="I1731" s="22">
        <f t="shared" si="57"/>
        <v>33943</v>
      </c>
      <c r="J1731" s="1" t="str">
        <f>"00745061"</f>
        <v>00745061</v>
      </c>
      <c r="K1731" s="1" t="str">
        <f>"３１７　　　　　　　　　　　　　　　　　"</f>
        <v>３１７　　　　　　　　　　　　　　　　　</v>
      </c>
      <c r="L1731" s="1"/>
    </row>
    <row r="1732" spans="1:12" ht="18" customHeight="1" x14ac:dyDescent="0.15">
      <c r="A1732" s="11">
        <v>4138</v>
      </c>
      <c r="B1732" s="11" t="s">
        <v>58</v>
      </c>
      <c r="C1732" s="11" t="s">
        <v>298</v>
      </c>
      <c r="D1732" s="11">
        <v>1</v>
      </c>
      <c r="E1732" s="11" t="s">
        <v>17</v>
      </c>
      <c r="F1732" s="12">
        <v>55826</v>
      </c>
      <c r="G1732" s="12">
        <v>55826</v>
      </c>
      <c r="H1732" s="11" t="str">
        <f t="shared" si="58"/>
        <v>平成4年12月5日</v>
      </c>
      <c r="I1732" s="22">
        <f t="shared" si="57"/>
        <v>33943</v>
      </c>
      <c r="J1732" s="1" t="str">
        <f>"00745063"</f>
        <v>00745063</v>
      </c>
      <c r="K1732" s="1" t="str">
        <f>"３２０　　　　　　　　　　　　　　　　　"</f>
        <v>３２０　　　　　　　　　　　　　　　　　</v>
      </c>
      <c r="L1732" s="1"/>
    </row>
    <row r="1733" spans="1:12" ht="18" customHeight="1" x14ac:dyDescent="0.15">
      <c r="A1733" s="11">
        <v>4139</v>
      </c>
      <c r="B1733" s="11" t="s">
        <v>58</v>
      </c>
      <c r="C1733" s="11" t="s">
        <v>298</v>
      </c>
      <c r="D1733" s="11">
        <v>1</v>
      </c>
      <c r="E1733" s="11" t="s">
        <v>17</v>
      </c>
      <c r="F1733" s="12">
        <v>55826</v>
      </c>
      <c r="G1733" s="12">
        <v>55826</v>
      </c>
      <c r="H1733" s="11" t="str">
        <f t="shared" si="58"/>
        <v>平成4年12月5日</v>
      </c>
      <c r="I1733" s="22">
        <f t="shared" si="57"/>
        <v>33943</v>
      </c>
      <c r="J1733" s="1" t="str">
        <f>"00745065"</f>
        <v>00745065</v>
      </c>
      <c r="K1733" s="1" t="str">
        <f>"３２３　　　　　　　　　　　　　　　　　"</f>
        <v>３２３　　　　　　　　　　　　　　　　　</v>
      </c>
      <c r="L1733" s="1"/>
    </row>
    <row r="1734" spans="1:12" ht="18" customHeight="1" x14ac:dyDescent="0.15">
      <c r="A1734" s="11">
        <v>4140</v>
      </c>
      <c r="B1734" s="11" t="s">
        <v>58</v>
      </c>
      <c r="C1734" s="11" t="s">
        <v>298</v>
      </c>
      <c r="D1734" s="11">
        <v>1</v>
      </c>
      <c r="E1734" s="11" t="s">
        <v>17</v>
      </c>
      <c r="F1734" s="12">
        <v>55826</v>
      </c>
      <c r="G1734" s="12">
        <v>55826</v>
      </c>
      <c r="H1734" s="11" t="str">
        <f t="shared" si="58"/>
        <v>平成4年12月5日</v>
      </c>
      <c r="I1734" s="22">
        <f t="shared" si="57"/>
        <v>33943</v>
      </c>
      <c r="J1734" s="1" t="str">
        <f>"00745067"</f>
        <v>00745067</v>
      </c>
      <c r="K1734" s="1" t="str">
        <f>"３２４　　　　　　　　　　　　　　　　　"</f>
        <v>３２４　　　　　　　　　　　　　　　　　</v>
      </c>
      <c r="L1734" s="1"/>
    </row>
    <row r="1735" spans="1:12" ht="18" customHeight="1" x14ac:dyDescent="0.15">
      <c r="A1735" s="11">
        <v>4141</v>
      </c>
      <c r="B1735" s="11" t="s">
        <v>58</v>
      </c>
      <c r="C1735" s="11" t="s">
        <v>298</v>
      </c>
      <c r="D1735" s="11">
        <v>1</v>
      </c>
      <c r="E1735" s="11" t="s">
        <v>17</v>
      </c>
      <c r="F1735" s="12">
        <v>55826</v>
      </c>
      <c r="G1735" s="12">
        <v>55826</v>
      </c>
      <c r="H1735" s="11" t="str">
        <f t="shared" si="58"/>
        <v>平成4年12月5日</v>
      </c>
      <c r="I1735" s="22">
        <f t="shared" si="57"/>
        <v>33943</v>
      </c>
      <c r="J1735" s="1" t="str">
        <f>"00745069"</f>
        <v>00745069</v>
      </c>
      <c r="K1735" s="1" t="str">
        <f>"３２６　　　　　　　　　　　　　　　　　"</f>
        <v>３２６　　　　　　　　　　　　　　　　　</v>
      </c>
      <c r="L1735" s="1"/>
    </row>
    <row r="1736" spans="1:12" ht="18" customHeight="1" x14ac:dyDescent="0.15">
      <c r="A1736" s="11">
        <v>4142</v>
      </c>
      <c r="B1736" s="11" t="s">
        <v>58</v>
      </c>
      <c r="C1736" s="11" t="s">
        <v>298</v>
      </c>
      <c r="D1736" s="11">
        <v>1</v>
      </c>
      <c r="E1736" s="11" t="s">
        <v>17</v>
      </c>
      <c r="F1736" s="12">
        <v>55826</v>
      </c>
      <c r="G1736" s="12">
        <v>55826</v>
      </c>
      <c r="H1736" s="11" t="str">
        <f t="shared" si="58"/>
        <v>平成4年12月5日</v>
      </c>
      <c r="I1736" s="22">
        <f t="shared" si="57"/>
        <v>33943</v>
      </c>
      <c r="J1736" s="1" t="str">
        <f>"00745071"</f>
        <v>00745071</v>
      </c>
      <c r="K1736" s="1" t="str">
        <f>"３２９　　　　　　　　　　　　　　　　　"</f>
        <v>３２９　　　　　　　　　　　　　　　　　</v>
      </c>
      <c r="L1736" s="1"/>
    </row>
    <row r="1737" spans="1:12" ht="18" customHeight="1" x14ac:dyDescent="0.15">
      <c r="A1737" s="11">
        <v>4143</v>
      </c>
      <c r="B1737" s="11" t="s">
        <v>58</v>
      </c>
      <c r="C1737" s="11" t="s">
        <v>298</v>
      </c>
      <c r="D1737" s="11">
        <v>1</v>
      </c>
      <c r="E1737" s="11" t="s">
        <v>17</v>
      </c>
      <c r="F1737" s="12">
        <v>55826</v>
      </c>
      <c r="G1737" s="12">
        <v>55826</v>
      </c>
      <c r="H1737" s="11" t="str">
        <f t="shared" si="58"/>
        <v>平成4年12月5日</v>
      </c>
      <c r="I1737" s="22">
        <f t="shared" si="57"/>
        <v>33943</v>
      </c>
      <c r="J1737" s="1" t="str">
        <f>"00745073"</f>
        <v>00745073</v>
      </c>
      <c r="K1737" s="1" t="str">
        <f>"３３０　　　　　　　　　　　　　　　　　"</f>
        <v>３３０　　　　　　　　　　　　　　　　　</v>
      </c>
      <c r="L1737" s="1"/>
    </row>
    <row r="1738" spans="1:12" ht="18" customHeight="1" x14ac:dyDescent="0.15">
      <c r="A1738" s="11">
        <v>4144</v>
      </c>
      <c r="B1738" s="11" t="s">
        <v>58</v>
      </c>
      <c r="C1738" s="11" t="s">
        <v>298</v>
      </c>
      <c r="D1738" s="11">
        <v>1</v>
      </c>
      <c r="E1738" s="11" t="s">
        <v>17</v>
      </c>
      <c r="F1738" s="12">
        <v>55826</v>
      </c>
      <c r="G1738" s="12">
        <v>55826</v>
      </c>
      <c r="H1738" s="11" t="str">
        <f t="shared" si="58"/>
        <v>平成4年12月5日</v>
      </c>
      <c r="I1738" s="22">
        <f t="shared" si="57"/>
        <v>33943</v>
      </c>
      <c r="J1738" s="1" t="str">
        <f>"00745075"</f>
        <v>00745075</v>
      </c>
      <c r="K1738" s="1" t="str">
        <f>"３３１　　　　　　　　　　　　　　　　　"</f>
        <v>３３１　　　　　　　　　　　　　　　　　</v>
      </c>
      <c r="L1738" s="1"/>
    </row>
    <row r="1739" spans="1:12" ht="18" customHeight="1" x14ac:dyDescent="0.15">
      <c r="A1739" s="11">
        <v>4145</v>
      </c>
      <c r="B1739" s="11" t="s">
        <v>58</v>
      </c>
      <c r="C1739" s="11" t="s">
        <v>298</v>
      </c>
      <c r="D1739" s="11">
        <v>1</v>
      </c>
      <c r="E1739" s="11" t="s">
        <v>17</v>
      </c>
      <c r="F1739" s="12">
        <v>55826</v>
      </c>
      <c r="G1739" s="12">
        <v>55826</v>
      </c>
      <c r="H1739" s="11" t="str">
        <f t="shared" si="58"/>
        <v>平成4年12月5日</v>
      </c>
      <c r="I1739" s="22">
        <f t="shared" si="57"/>
        <v>33943</v>
      </c>
      <c r="J1739" s="1" t="str">
        <f>"00745077"</f>
        <v>00745077</v>
      </c>
      <c r="K1739" s="1" t="str">
        <f>"３３２　　　　　　　　　　　　　　　　　"</f>
        <v>３３２　　　　　　　　　　　　　　　　　</v>
      </c>
      <c r="L1739" s="1"/>
    </row>
    <row r="1740" spans="1:12" ht="18" customHeight="1" x14ac:dyDescent="0.15">
      <c r="A1740" s="11">
        <v>4146</v>
      </c>
      <c r="B1740" s="11" t="s">
        <v>58</v>
      </c>
      <c r="C1740" s="11" t="s">
        <v>298</v>
      </c>
      <c r="D1740" s="11">
        <v>1</v>
      </c>
      <c r="E1740" s="11" t="s">
        <v>17</v>
      </c>
      <c r="F1740" s="12">
        <v>55826</v>
      </c>
      <c r="G1740" s="12">
        <v>55826</v>
      </c>
      <c r="H1740" s="11" t="str">
        <f t="shared" si="58"/>
        <v>平成4年12月5日</v>
      </c>
      <c r="I1740" s="22">
        <f t="shared" si="57"/>
        <v>33943</v>
      </c>
      <c r="J1740" s="1" t="str">
        <f>"00745079"</f>
        <v>00745079</v>
      </c>
      <c r="K1740" s="1" t="str">
        <f>"３３４　　　　　　　　　　　　　　　　　"</f>
        <v>３３４　　　　　　　　　　　　　　　　　</v>
      </c>
      <c r="L1740" s="1"/>
    </row>
    <row r="1741" spans="1:12" ht="18" customHeight="1" x14ac:dyDescent="0.15">
      <c r="A1741" s="11">
        <v>4147</v>
      </c>
      <c r="B1741" s="11" t="s">
        <v>58</v>
      </c>
      <c r="C1741" s="11" t="s">
        <v>298</v>
      </c>
      <c r="D1741" s="11">
        <v>1</v>
      </c>
      <c r="E1741" s="11" t="s">
        <v>17</v>
      </c>
      <c r="F1741" s="12">
        <v>55826</v>
      </c>
      <c r="G1741" s="12">
        <v>55826</v>
      </c>
      <c r="H1741" s="11" t="str">
        <f t="shared" si="58"/>
        <v>平成4年12月5日</v>
      </c>
      <c r="I1741" s="22">
        <f t="shared" si="57"/>
        <v>33943</v>
      </c>
      <c r="J1741" s="1" t="str">
        <f>"00745081"</f>
        <v>00745081</v>
      </c>
      <c r="K1741" s="1" t="str">
        <f>"３３５　　　　　　　　　　　　　　　　　"</f>
        <v>３３５　　　　　　　　　　　　　　　　　</v>
      </c>
      <c r="L1741" s="1"/>
    </row>
    <row r="1742" spans="1:12" ht="18" customHeight="1" x14ac:dyDescent="0.15">
      <c r="A1742" s="11">
        <v>4148</v>
      </c>
      <c r="B1742" s="11" t="s">
        <v>58</v>
      </c>
      <c r="C1742" s="11" t="s">
        <v>298</v>
      </c>
      <c r="D1742" s="11">
        <v>1</v>
      </c>
      <c r="E1742" s="11" t="s">
        <v>17</v>
      </c>
      <c r="F1742" s="12">
        <v>55826</v>
      </c>
      <c r="G1742" s="12">
        <v>55826</v>
      </c>
      <c r="H1742" s="11" t="str">
        <f t="shared" si="58"/>
        <v>平成4年12月5日</v>
      </c>
      <c r="I1742" s="22">
        <f t="shared" si="57"/>
        <v>33943</v>
      </c>
      <c r="J1742" s="1" t="str">
        <f>"00745083"</f>
        <v>00745083</v>
      </c>
      <c r="K1742" s="1" t="str">
        <f>"３３６　　　　　　　　　　　　　　　　　"</f>
        <v>３３６　　　　　　　　　　　　　　　　　</v>
      </c>
      <c r="L1742" s="1"/>
    </row>
    <row r="1743" spans="1:12" ht="18" customHeight="1" x14ac:dyDescent="0.15">
      <c r="A1743" s="11">
        <v>4218</v>
      </c>
      <c r="B1743" s="11" t="s">
        <v>303</v>
      </c>
      <c r="C1743" s="11" t="s">
        <v>304</v>
      </c>
      <c r="D1743" s="11">
        <v>1</v>
      </c>
      <c r="E1743" s="11" t="s">
        <v>17</v>
      </c>
      <c r="F1743" s="12">
        <v>643800</v>
      </c>
      <c r="G1743" s="12">
        <v>643800</v>
      </c>
      <c r="H1743" s="11" t="str">
        <f t="shared" si="58"/>
        <v>平成4年12月5日</v>
      </c>
      <c r="I1743" s="22">
        <f t="shared" si="57"/>
        <v>33943</v>
      </c>
      <c r="J1743" s="1" t="str">
        <f>"00745229"</f>
        <v>00745229</v>
      </c>
      <c r="K1743" s="1" t="str">
        <f>"３０１　　　　　　　　　　　　　　　　　"</f>
        <v>３０１　　　　　　　　　　　　　　　　　</v>
      </c>
      <c r="L1743" s="1"/>
    </row>
    <row r="1744" spans="1:12" ht="18" customHeight="1" x14ac:dyDescent="0.15">
      <c r="A1744" s="11">
        <v>4219</v>
      </c>
      <c r="B1744" s="11" t="s">
        <v>303</v>
      </c>
      <c r="C1744" s="11" t="s">
        <v>304</v>
      </c>
      <c r="D1744" s="11">
        <v>1</v>
      </c>
      <c r="E1744" s="11" t="s">
        <v>17</v>
      </c>
      <c r="F1744" s="12">
        <v>643800</v>
      </c>
      <c r="G1744" s="12">
        <v>643800</v>
      </c>
      <c r="H1744" s="11" t="str">
        <f t="shared" si="58"/>
        <v>平成4年12月5日</v>
      </c>
      <c r="I1744" s="22">
        <f t="shared" si="57"/>
        <v>33943</v>
      </c>
      <c r="J1744" s="1" t="str">
        <f>"00745231"</f>
        <v>00745231</v>
      </c>
      <c r="K1744" s="1" t="str">
        <f>"３０２　　　　　　　　　　　　　　　　　"</f>
        <v>３０２　　　　　　　　　　　　　　　　　</v>
      </c>
      <c r="L1744" s="1"/>
    </row>
    <row r="1745" spans="1:12" ht="18" customHeight="1" x14ac:dyDescent="0.15">
      <c r="A1745" s="11">
        <v>4220</v>
      </c>
      <c r="B1745" s="11" t="s">
        <v>303</v>
      </c>
      <c r="C1745" s="11" t="s">
        <v>305</v>
      </c>
      <c r="D1745" s="11">
        <v>1</v>
      </c>
      <c r="E1745" s="11" t="s">
        <v>17</v>
      </c>
      <c r="F1745" s="12">
        <v>643800</v>
      </c>
      <c r="G1745" s="12">
        <v>643800</v>
      </c>
      <c r="H1745" s="11" t="str">
        <f t="shared" si="58"/>
        <v>平成4年12月5日</v>
      </c>
      <c r="I1745" s="22">
        <f t="shared" si="57"/>
        <v>33943</v>
      </c>
      <c r="J1745" s="1" t="str">
        <f>"00745233"</f>
        <v>00745233</v>
      </c>
      <c r="K1745" s="1" t="str">
        <f>"３０３　　　　　　　　　　　　　　　　　"</f>
        <v>３０３　　　　　　　　　　　　　　　　　</v>
      </c>
      <c r="L1745" s="1"/>
    </row>
    <row r="1746" spans="1:12" ht="18" customHeight="1" x14ac:dyDescent="0.15">
      <c r="A1746" s="11">
        <v>4221</v>
      </c>
      <c r="B1746" s="11" t="s">
        <v>303</v>
      </c>
      <c r="C1746" s="11" t="s">
        <v>305</v>
      </c>
      <c r="D1746" s="11">
        <v>1</v>
      </c>
      <c r="E1746" s="11" t="s">
        <v>17</v>
      </c>
      <c r="F1746" s="12">
        <v>643800</v>
      </c>
      <c r="G1746" s="12">
        <v>643800</v>
      </c>
      <c r="H1746" s="11" t="str">
        <f t="shared" si="58"/>
        <v>平成4年12月5日</v>
      </c>
      <c r="I1746" s="22">
        <f t="shared" ref="I1746:I1809" si="59">DATEVALUE(H1746)</f>
        <v>33943</v>
      </c>
      <c r="J1746" s="1" t="str">
        <f>"00745235"</f>
        <v>00745235</v>
      </c>
      <c r="K1746" s="1" t="str">
        <f>"３０４　　　　　　　　　　　　　　　　　"</f>
        <v>３０４　　　　　　　　　　　　　　　　　</v>
      </c>
      <c r="L1746" s="1"/>
    </row>
    <row r="1747" spans="1:12" ht="18" customHeight="1" x14ac:dyDescent="0.15">
      <c r="A1747" s="11">
        <v>4222</v>
      </c>
      <c r="B1747" s="11" t="s">
        <v>303</v>
      </c>
      <c r="C1747" s="11" t="s">
        <v>306</v>
      </c>
      <c r="D1747" s="11">
        <v>1</v>
      </c>
      <c r="E1747" s="11" t="s">
        <v>17</v>
      </c>
      <c r="F1747" s="12">
        <v>623200</v>
      </c>
      <c r="G1747" s="12">
        <v>623200</v>
      </c>
      <c r="H1747" s="11" t="str">
        <f t="shared" si="58"/>
        <v>平成4年12月5日</v>
      </c>
      <c r="I1747" s="22">
        <f t="shared" si="59"/>
        <v>33943</v>
      </c>
      <c r="J1747" s="1" t="str">
        <f>"00745237"</f>
        <v>00745237</v>
      </c>
      <c r="K1747" s="1" t="str">
        <f>"３０５　　　　　　　　　　　　　　　　　"</f>
        <v>３０５　　　　　　　　　　　　　　　　　</v>
      </c>
      <c r="L1747" s="1"/>
    </row>
    <row r="1748" spans="1:12" ht="18" customHeight="1" x14ac:dyDescent="0.15">
      <c r="A1748" s="11">
        <v>4223</v>
      </c>
      <c r="B1748" s="11" t="s">
        <v>303</v>
      </c>
      <c r="C1748" s="11" t="s">
        <v>306</v>
      </c>
      <c r="D1748" s="11">
        <v>1</v>
      </c>
      <c r="E1748" s="11" t="s">
        <v>17</v>
      </c>
      <c r="F1748" s="12">
        <v>623200</v>
      </c>
      <c r="G1748" s="12">
        <v>623200</v>
      </c>
      <c r="H1748" s="11" t="str">
        <f t="shared" si="58"/>
        <v>平成4年12月5日</v>
      </c>
      <c r="I1748" s="22">
        <f t="shared" si="59"/>
        <v>33943</v>
      </c>
      <c r="J1748" s="1" t="str">
        <f>"00745239"</f>
        <v>00745239</v>
      </c>
      <c r="K1748" s="1" t="str">
        <f>"３０６　　　　　　　　　　　　　　　　　"</f>
        <v>３０６　　　　　　　　　　　　　　　　　</v>
      </c>
      <c r="L1748" s="1"/>
    </row>
    <row r="1749" spans="1:12" ht="18" customHeight="1" x14ac:dyDescent="0.15">
      <c r="A1749" s="11">
        <v>4228</v>
      </c>
      <c r="B1749" s="11" t="s">
        <v>115</v>
      </c>
      <c r="C1749" s="11" t="s">
        <v>309</v>
      </c>
      <c r="D1749" s="11">
        <v>1</v>
      </c>
      <c r="E1749" s="11" t="s">
        <v>4</v>
      </c>
      <c r="F1749" s="12">
        <v>55929</v>
      </c>
      <c r="G1749" s="12">
        <v>55929</v>
      </c>
      <c r="H1749" s="11" t="str">
        <f t="shared" si="58"/>
        <v>平成4年12月5日</v>
      </c>
      <c r="I1749" s="22">
        <f t="shared" si="59"/>
        <v>33943</v>
      </c>
      <c r="J1749" s="1" t="str">
        <f>"00745249"</f>
        <v>00745249</v>
      </c>
      <c r="K1749" s="1" t="str">
        <f>"３０１　　　　　　　　　　　　　　　　　"</f>
        <v>３０１　　　　　　　　　　　　　　　　　</v>
      </c>
      <c r="L1749" s="1"/>
    </row>
    <row r="1750" spans="1:12" ht="18" customHeight="1" x14ac:dyDescent="0.15">
      <c r="A1750" s="11">
        <v>4229</v>
      </c>
      <c r="B1750" s="11" t="s">
        <v>115</v>
      </c>
      <c r="C1750" s="11" t="s">
        <v>309</v>
      </c>
      <c r="D1750" s="11">
        <v>1</v>
      </c>
      <c r="E1750" s="11" t="s">
        <v>4</v>
      </c>
      <c r="F1750" s="12">
        <v>55929</v>
      </c>
      <c r="G1750" s="12">
        <v>55929</v>
      </c>
      <c r="H1750" s="11" t="str">
        <f t="shared" si="58"/>
        <v>平成4年12月5日</v>
      </c>
      <c r="I1750" s="22">
        <f t="shared" si="59"/>
        <v>33943</v>
      </c>
      <c r="J1750" s="1" t="str">
        <f>"00745251"</f>
        <v>00745251</v>
      </c>
      <c r="K1750" s="1" t="str">
        <f>"３０２　　　　　　　　　　　　　　　　　"</f>
        <v>３０２　　　　　　　　　　　　　　　　　</v>
      </c>
      <c r="L1750" s="1"/>
    </row>
    <row r="1751" spans="1:12" ht="18" customHeight="1" x14ac:dyDescent="0.15">
      <c r="A1751" s="11">
        <v>4230</v>
      </c>
      <c r="B1751" s="11" t="s">
        <v>115</v>
      </c>
      <c r="C1751" s="11" t="s">
        <v>309</v>
      </c>
      <c r="D1751" s="11">
        <v>1</v>
      </c>
      <c r="E1751" s="11" t="s">
        <v>4</v>
      </c>
      <c r="F1751" s="12">
        <v>55929</v>
      </c>
      <c r="G1751" s="12">
        <v>55929</v>
      </c>
      <c r="H1751" s="11" t="str">
        <f t="shared" si="58"/>
        <v>平成4年12月5日</v>
      </c>
      <c r="I1751" s="22">
        <f t="shared" si="59"/>
        <v>33943</v>
      </c>
      <c r="J1751" s="1" t="str">
        <f>"00745253"</f>
        <v>00745253</v>
      </c>
      <c r="K1751" s="1" t="str">
        <f>"３０３　　　　　　　　　　　　　　　　　"</f>
        <v>３０３　　　　　　　　　　　　　　　　　</v>
      </c>
      <c r="L1751" s="1"/>
    </row>
    <row r="1752" spans="1:12" ht="18" customHeight="1" x14ac:dyDescent="0.15">
      <c r="A1752" s="11">
        <v>4231</v>
      </c>
      <c r="B1752" s="11" t="s">
        <v>115</v>
      </c>
      <c r="C1752" s="11" t="s">
        <v>309</v>
      </c>
      <c r="D1752" s="11">
        <v>1</v>
      </c>
      <c r="E1752" s="11" t="s">
        <v>4</v>
      </c>
      <c r="F1752" s="12">
        <v>55929</v>
      </c>
      <c r="G1752" s="12">
        <v>55929</v>
      </c>
      <c r="H1752" s="11" t="str">
        <f t="shared" si="58"/>
        <v>平成4年12月5日</v>
      </c>
      <c r="I1752" s="22">
        <f t="shared" si="59"/>
        <v>33943</v>
      </c>
      <c r="J1752" s="1" t="str">
        <f>"00745255"</f>
        <v>00745255</v>
      </c>
      <c r="K1752" s="1" t="str">
        <f>"３０４　　　　　　　　　　　　　　　　　"</f>
        <v>３０４　　　　　　　　　　　　　　　　　</v>
      </c>
      <c r="L1752" s="1"/>
    </row>
    <row r="1753" spans="1:12" ht="18" customHeight="1" x14ac:dyDescent="0.15">
      <c r="A1753" s="11">
        <v>4232</v>
      </c>
      <c r="B1753" s="11" t="s">
        <v>115</v>
      </c>
      <c r="C1753" s="11" t="s">
        <v>309</v>
      </c>
      <c r="D1753" s="11">
        <v>1</v>
      </c>
      <c r="E1753" s="11" t="s">
        <v>4</v>
      </c>
      <c r="F1753" s="12">
        <v>55929</v>
      </c>
      <c r="G1753" s="12">
        <v>55929</v>
      </c>
      <c r="H1753" s="11" t="str">
        <f t="shared" si="58"/>
        <v>平成4年12月5日</v>
      </c>
      <c r="I1753" s="22">
        <f t="shared" si="59"/>
        <v>33943</v>
      </c>
      <c r="J1753" s="1" t="str">
        <f>"00745257"</f>
        <v>00745257</v>
      </c>
      <c r="K1753" s="1" t="str">
        <f>"３０５　　　　　　　　　　　　　　　　　"</f>
        <v>３０５　　　　　　　　　　　　　　　　　</v>
      </c>
      <c r="L1753" s="1"/>
    </row>
    <row r="1754" spans="1:12" ht="18" customHeight="1" x14ac:dyDescent="0.15">
      <c r="A1754" s="11">
        <v>4233</v>
      </c>
      <c r="B1754" s="11" t="s">
        <v>115</v>
      </c>
      <c r="C1754" s="11" t="s">
        <v>309</v>
      </c>
      <c r="D1754" s="11">
        <v>1</v>
      </c>
      <c r="E1754" s="11" t="s">
        <v>4</v>
      </c>
      <c r="F1754" s="12">
        <v>55929</v>
      </c>
      <c r="G1754" s="12">
        <v>55929</v>
      </c>
      <c r="H1754" s="11" t="str">
        <f t="shared" si="58"/>
        <v>平成4年12月5日</v>
      </c>
      <c r="I1754" s="22">
        <f t="shared" si="59"/>
        <v>33943</v>
      </c>
      <c r="J1754" s="1" t="str">
        <f>"00745259"</f>
        <v>00745259</v>
      </c>
      <c r="K1754" s="1" t="str">
        <f>"３０６　　　　　　　　　　　　　　　　　"</f>
        <v>３０６　　　　　　　　　　　　　　　　　</v>
      </c>
      <c r="L1754" s="1"/>
    </row>
    <row r="1755" spans="1:12" ht="18" customHeight="1" x14ac:dyDescent="0.15">
      <c r="A1755" s="11">
        <v>4234</v>
      </c>
      <c r="B1755" s="11" t="s">
        <v>115</v>
      </c>
      <c r="C1755" s="11" t="s">
        <v>309</v>
      </c>
      <c r="D1755" s="11">
        <v>1</v>
      </c>
      <c r="E1755" s="11" t="s">
        <v>4</v>
      </c>
      <c r="F1755" s="12">
        <v>55929</v>
      </c>
      <c r="G1755" s="12">
        <v>55929</v>
      </c>
      <c r="H1755" s="11" t="str">
        <f t="shared" si="58"/>
        <v>平成4年12月5日</v>
      </c>
      <c r="I1755" s="22">
        <f t="shared" si="59"/>
        <v>33943</v>
      </c>
      <c r="J1755" s="1" t="str">
        <f>"00745261"</f>
        <v>00745261</v>
      </c>
      <c r="K1755" s="1" t="str">
        <f>"３０７　　　　　　　　　　　　　　　　　"</f>
        <v>３０７　　　　　　　　　　　　　　　　　</v>
      </c>
      <c r="L1755" s="1"/>
    </row>
    <row r="1756" spans="1:12" ht="18" customHeight="1" x14ac:dyDescent="0.15">
      <c r="A1756" s="11">
        <v>4235</v>
      </c>
      <c r="B1756" s="11" t="s">
        <v>115</v>
      </c>
      <c r="C1756" s="11" t="s">
        <v>309</v>
      </c>
      <c r="D1756" s="11">
        <v>1</v>
      </c>
      <c r="E1756" s="11" t="s">
        <v>4</v>
      </c>
      <c r="F1756" s="12">
        <v>55929</v>
      </c>
      <c r="G1756" s="12">
        <v>55929</v>
      </c>
      <c r="H1756" s="11" t="str">
        <f t="shared" si="58"/>
        <v>平成4年12月5日</v>
      </c>
      <c r="I1756" s="22">
        <f t="shared" si="59"/>
        <v>33943</v>
      </c>
      <c r="J1756" s="1" t="str">
        <f>"00745263"</f>
        <v>00745263</v>
      </c>
      <c r="K1756" s="1" t="str">
        <f>"３０８　　　　　　　　　　　　　　　　　"</f>
        <v>３０８　　　　　　　　　　　　　　　　　</v>
      </c>
      <c r="L1756" s="1"/>
    </row>
    <row r="1757" spans="1:12" ht="18" customHeight="1" x14ac:dyDescent="0.15">
      <c r="A1757" s="11">
        <v>4236</v>
      </c>
      <c r="B1757" s="11" t="s">
        <v>115</v>
      </c>
      <c r="C1757" s="11" t="s">
        <v>309</v>
      </c>
      <c r="D1757" s="11">
        <v>1</v>
      </c>
      <c r="E1757" s="11" t="s">
        <v>4</v>
      </c>
      <c r="F1757" s="12">
        <v>55929</v>
      </c>
      <c r="G1757" s="12">
        <v>55929</v>
      </c>
      <c r="H1757" s="11" t="str">
        <f t="shared" si="58"/>
        <v>平成4年12月5日</v>
      </c>
      <c r="I1757" s="22">
        <f t="shared" si="59"/>
        <v>33943</v>
      </c>
      <c r="J1757" s="1" t="str">
        <f>"00745265"</f>
        <v>00745265</v>
      </c>
      <c r="K1757" s="1" t="str">
        <f>"３０９　　　　　　　　　　　　　　　　　"</f>
        <v>３０９　　　　　　　　　　　　　　　　　</v>
      </c>
      <c r="L1757" s="1"/>
    </row>
    <row r="1758" spans="1:12" ht="18" customHeight="1" x14ac:dyDescent="0.15">
      <c r="A1758" s="11">
        <v>4237</v>
      </c>
      <c r="B1758" s="11" t="s">
        <v>115</v>
      </c>
      <c r="C1758" s="11" t="s">
        <v>309</v>
      </c>
      <c r="D1758" s="11">
        <v>1</v>
      </c>
      <c r="E1758" s="11" t="s">
        <v>4</v>
      </c>
      <c r="F1758" s="12">
        <v>55929</v>
      </c>
      <c r="G1758" s="12">
        <v>55929</v>
      </c>
      <c r="H1758" s="11" t="str">
        <f t="shared" si="58"/>
        <v>平成4年12月5日</v>
      </c>
      <c r="I1758" s="22">
        <f t="shared" si="59"/>
        <v>33943</v>
      </c>
      <c r="J1758" s="1" t="str">
        <f>"00745267"</f>
        <v>00745267</v>
      </c>
      <c r="K1758" s="1" t="str">
        <f>"３１０　　　　　　　　　　　　　　　　　"</f>
        <v>３１０　　　　　　　　　　　　　　　　　</v>
      </c>
      <c r="L1758" s="1"/>
    </row>
    <row r="1759" spans="1:12" ht="18" customHeight="1" x14ac:dyDescent="0.15">
      <c r="A1759" s="11">
        <v>4238</v>
      </c>
      <c r="B1759" s="11" t="s">
        <v>115</v>
      </c>
      <c r="C1759" s="11" t="s">
        <v>309</v>
      </c>
      <c r="D1759" s="11">
        <v>1</v>
      </c>
      <c r="E1759" s="11" t="s">
        <v>4</v>
      </c>
      <c r="F1759" s="12">
        <v>55929</v>
      </c>
      <c r="G1759" s="12">
        <v>55929</v>
      </c>
      <c r="H1759" s="11" t="str">
        <f t="shared" si="58"/>
        <v>平成4年12月5日</v>
      </c>
      <c r="I1759" s="22">
        <f t="shared" si="59"/>
        <v>33943</v>
      </c>
      <c r="J1759" s="1" t="str">
        <f>"00745269"</f>
        <v>00745269</v>
      </c>
      <c r="K1759" s="1" t="str">
        <f>"３１１　　　　　　　　　　　　　　　　　"</f>
        <v>３１１　　　　　　　　　　　　　　　　　</v>
      </c>
      <c r="L1759" s="1"/>
    </row>
    <row r="1760" spans="1:12" ht="18" customHeight="1" x14ac:dyDescent="0.15">
      <c r="A1760" s="11">
        <v>4239</v>
      </c>
      <c r="B1760" s="11" t="s">
        <v>115</v>
      </c>
      <c r="C1760" s="11" t="s">
        <v>309</v>
      </c>
      <c r="D1760" s="11">
        <v>1</v>
      </c>
      <c r="E1760" s="11" t="s">
        <v>4</v>
      </c>
      <c r="F1760" s="12">
        <v>55929</v>
      </c>
      <c r="G1760" s="12">
        <v>55929</v>
      </c>
      <c r="H1760" s="11" t="str">
        <f t="shared" si="58"/>
        <v>平成4年12月5日</v>
      </c>
      <c r="I1760" s="22">
        <f t="shared" si="59"/>
        <v>33943</v>
      </c>
      <c r="J1760" s="1" t="str">
        <f>"00745271"</f>
        <v>00745271</v>
      </c>
      <c r="K1760" s="1" t="str">
        <f>"３１２　　　　　　　　　　　　　　　　　"</f>
        <v>３１２　　　　　　　　　　　　　　　　　</v>
      </c>
      <c r="L1760" s="1"/>
    </row>
    <row r="1761" spans="1:12" ht="18" customHeight="1" x14ac:dyDescent="0.15">
      <c r="A1761" s="11">
        <v>4240</v>
      </c>
      <c r="B1761" s="11" t="s">
        <v>115</v>
      </c>
      <c r="C1761" s="11" t="s">
        <v>309</v>
      </c>
      <c r="D1761" s="11">
        <v>1</v>
      </c>
      <c r="E1761" s="11" t="s">
        <v>4</v>
      </c>
      <c r="F1761" s="12">
        <v>55929</v>
      </c>
      <c r="G1761" s="12">
        <v>55929</v>
      </c>
      <c r="H1761" s="11" t="str">
        <f t="shared" si="58"/>
        <v>平成4年12月5日</v>
      </c>
      <c r="I1761" s="22">
        <f t="shared" si="59"/>
        <v>33943</v>
      </c>
      <c r="J1761" s="1" t="str">
        <f>"00745273"</f>
        <v>00745273</v>
      </c>
      <c r="K1761" s="1" t="str">
        <f>"３１３　　　　　　　　　　　　　　　　　"</f>
        <v>３１３　　　　　　　　　　　　　　　　　</v>
      </c>
      <c r="L1761" s="1"/>
    </row>
    <row r="1762" spans="1:12" ht="18" customHeight="1" x14ac:dyDescent="0.15">
      <c r="A1762" s="11">
        <v>4241</v>
      </c>
      <c r="B1762" s="11" t="s">
        <v>115</v>
      </c>
      <c r="C1762" s="11" t="s">
        <v>309</v>
      </c>
      <c r="D1762" s="11">
        <v>1</v>
      </c>
      <c r="E1762" s="11" t="s">
        <v>4</v>
      </c>
      <c r="F1762" s="12">
        <v>55929</v>
      </c>
      <c r="G1762" s="12">
        <v>55929</v>
      </c>
      <c r="H1762" s="11" t="str">
        <f t="shared" si="58"/>
        <v>平成4年12月5日</v>
      </c>
      <c r="I1762" s="22">
        <f t="shared" si="59"/>
        <v>33943</v>
      </c>
      <c r="J1762" s="1" t="str">
        <f>"00745275"</f>
        <v>00745275</v>
      </c>
      <c r="K1762" s="1" t="str">
        <f>"３１４　　　　　　　　　　　　　　　　　"</f>
        <v>３１４　　　　　　　　　　　　　　　　　</v>
      </c>
      <c r="L1762" s="1"/>
    </row>
    <row r="1763" spans="1:12" ht="18" customHeight="1" x14ac:dyDescent="0.15">
      <c r="A1763" s="11">
        <v>4242</v>
      </c>
      <c r="B1763" s="11" t="s">
        <v>115</v>
      </c>
      <c r="C1763" s="11" t="s">
        <v>309</v>
      </c>
      <c r="D1763" s="11">
        <v>1</v>
      </c>
      <c r="E1763" s="11" t="s">
        <v>4</v>
      </c>
      <c r="F1763" s="12">
        <v>55929</v>
      </c>
      <c r="G1763" s="12">
        <v>55929</v>
      </c>
      <c r="H1763" s="11" t="str">
        <f t="shared" si="58"/>
        <v>平成4年12月5日</v>
      </c>
      <c r="I1763" s="22">
        <f t="shared" si="59"/>
        <v>33943</v>
      </c>
      <c r="J1763" s="1" t="str">
        <f>"00745277"</f>
        <v>00745277</v>
      </c>
      <c r="K1763" s="1" t="str">
        <f>"３１５　　　　　　　　　　　　　　　　　"</f>
        <v>３１５　　　　　　　　　　　　　　　　　</v>
      </c>
      <c r="L1763" s="1"/>
    </row>
    <row r="1764" spans="1:12" ht="18" customHeight="1" x14ac:dyDescent="0.15">
      <c r="A1764" s="11">
        <v>4243</v>
      </c>
      <c r="B1764" s="11" t="s">
        <v>115</v>
      </c>
      <c r="C1764" s="11" t="s">
        <v>309</v>
      </c>
      <c r="D1764" s="11">
        <v>1</v>
      </c>
      <c r="E1764" s="11" t="s">
        <v>4</v>
      </c>
      <c r="F1764" s="12">
        <v>55929</v>
      </c>
      <c r="G1764" s="12">
        <v>55929</v>
      </c>
      <c r="H1764" s="11" t="str">
        <f t="shared" si="58"/>
        <v>平成4年12月5日</v>
      </c>
      <c r="I1764" s="22">
        <f t="shared" si="59"/>
        <v>33943</v>
      </c>
      <c r="J1764" s="1" t="str">
        <f>"00745279"</f>
        <v>00745279</v>
      </c>
      <c r="K1764" s="1" t="str">
        <f>"３１６　　　　　　　　　　　　　　　　　"</f>
        <v>３１６　　　　　　　　　　　　　　　　　</v>
      </c>
      <c r="L1764" s="1"/>
    </row>
    <row r="1765" spans="1:12" ht="18" customHeight="1" x14ac:dyDescent="0.15">
      <c r="A1765" s="11">
        <v>4244</v>
      </c>
      <c r="B1765" s="11" t="s">
        <v>115</v>
      </c>
      <c r="C1765" s="11" t="s">
        <v>309</v>
      </c>
      <c r="D1765" s="11">
        <v>1</v>
      </c>
      <c r="E1765" s="11" t="s">
        <v>4</v>
      </c>
      <c r="F1765" s="12">
        <v>55929</v>
      </c>
      <c r="G1765" s="12">
        <v>55929</v>
      </c>
      <c r="H1765" s="11" t="str">
        <f t="shared" si="58"/>
        <v>平成4年12月5日</v>
      </c>
      <c r="I1765" s="22">
        <f t="shared" si="59"/>
        <v>33943</v>
      </c>
      <c r="J1765" s="1" t="str">
        <f>"00745281"</f>
        <v>00745281</v>
      </c>
      <c r="K1765" s="1" t="str">
        <f>"３１７　　　　　　　　　　　　　　　　　"</f>
        <v>３１７　　　　　　　　　　　　　　　　　</v>
      </c>
      <c r="L1765" s="1"/>
    </row>
    <row r="1766" spans="1:12" ht="18" customHeight="1" x14ac:dyDescent="0.15">
      <c r="A1766" s="11">
        <v>4245</v>
      </c>
      <c r="B1766" s="11" t="s">
        <v>115</v>
      </c>
      <c r="C1766" s="11" t="s">
        <v>309</v>
      </c>
      <c r="D1766" s="11">
        <v>1</v>
      </c>
      <c r="E1766" s="11" t="s">
        <v>4</v>
      </c>
      <c r="F1766" s="12">
        <v>55929</v>
      </c>
      <c r="G1766" s="12">
        <v>55929</v>
      </c>
      <c r="H1766" s="11" t="str">
        <f t="shared" si="58"/>
        <v>平成4年12月5日</v>
      </c>
      <c r="I1766" s="22">
        <f t="shared" si="59"/>
        <v>33943</v>
      </c>
      <c r="J1766" s="1" t="str">
        <f>"00745283"</f>
        <v>00745283</v>
      </c>
      <c r="K1766" s="1" t="str">
        <f>"３１８　　　　　　　　　　　　　　　　　"</f>
        <v>３１８　　　　　　　　　　　　　　　　　</v>
      </c>
      <c r="L1766" s="1"/>
    </row>
    <row r="1767" spans="1:12" ht="18" customHeight="1" x14ac:dyDescent="0.15">
      <c r="A1767" s="11">
        <v>4246</v>
      </c>
      <c r="B1767" s="11" t="s">
        <v>115</v>
      </c>
      <c r="C1767" s="11" t="s">
        <v>309</v>
      </c>
      <c r="D1767" s="11">
        <v>1</v>
      </c>
      <c r="E1767" s="11" t="s">
        <v>4</v>
      </c>
      <c r="F1767" s="12">
        <v>55929</v>
      </c>
      <c r="G1767" s="12">
        <v>55929</v>
      </c>
      <c r="H1767" s="11" t="str">
        <f t="shared" si="58"/>
        <v>平成4年12月5日</v>
      </c>
      <c r="I1767" s="22">
        <f t="shared" si="59"/>
        <v>33943</v>
      </c>
      <c r="J1767" s="1" t="str">
        <f>"00745285"</f>
        <v>00745285</v>
      </c>
      <c r="K1767" s="1" t="str">
        <f>"３１９　　　　　　　　　　　　　　　　　"</f>
        <v>３１９　　　　　　　　　　　　　　　　　</v>
      </c>
      <c r="L1767" s="1"/>
    </row>
    <row r="1768" spans="1:12" ht="18" customHeight="1" x14ac:dyDescent="0.15">
      <c r="A1768" s="11">
        <v>4247</v>
      </c>
      <c r="B1768" s="11" t="s">
        <v>115</v>
      </c>
      <c r="C1768" s="11" t="s">
        <v>309</v>
      </c>
      <c r="D1768" s="11">
        <v>1</v>
      </c>
      <c r="E1768" s="11" t="s">
        <v>4</v>
      </c>
      <c r="F1768" s="12">
        <v>55929</v>
      </c>
      <c r="G1768" s="12">
        <v>55929</v>
      </c>
      <c r="H1768" s="11" t="str">
        <f t="shared" si="58"/>
        <v>平成4年12月5日</v>
      </c>
      <c r="I1768" s="22">
        <f t="shared" si="59"/>
        <v>33943</v>
      </c>
      <c r="J1768" s="1" t="str">
        <f>"00745287"</f>
        <v>00745287</v>
      </c>
      <c r="K1768" s="1" t="str">
        <f>"３２０　　　　　　　　　　　　　　　　　"</f>
        <v>３２０　　　　　　　　　　　　　　　　　</v>
      </c>
      <c r="L1768" s="1"/>
    </row>
    <row r="1769" spans="1:12" ht="18" customHeight="1" x14ac:dyDescent="0.15">
      <c r="A1769" s="11">
        <v>4248</v>
      </c>
      <c r="B1769" s="11" t="s">
        <v>115</v>
      </c>
      <c r="C1769" s="11" t="s">
        <v>310</v>
      </c>
      <c r="D1769" s="11">
        <v>1</v>
      </c>
      <c r="E1769" s="11" t="s">
        <v>4</v>
      </c>
      <c r="F1769" s="12">
        <v>41097</v>
      </c>
      <c r="G1769" s="12">
        <v>41097</v>
      </c>
      <c r="H1769" s="11" t="str">
        <f t="shared" si="58"/>
        <v>平成4年12月5日</v>
      </c>
      <c r="I1769" s="22">
        <f t="shared" si="59"/>
        <v>33943</v>
      </c>
      <c r="J1769" s="1" t="str">
        <f>"00745289"</f>
        <v>00745289</v>
      </c>
      <c r="K1769" s="1" t="str">
        <f>"３２１　　　　　　　　　　　　　　　　　"</f>
        <v>３２１　　　　　　　　　　　　　　　　　</v>
      </c>
      <c r="L1769" s="1"/>
    </row>
    <row r="1770" spans="1:12" ht="18" customHeight="1" x14ac:dyDescent="0.15">
      <c r="A1770" s="11">
        <v>4249</v>
      </c>
      <c r="B1770" s="11" t="s">
        <v>115</v>
      </c>
      <c r="C1770" s="11" t="s">
        <v>310</v>
      </c>
      <c r="D1770" s="11">
        <v>1</v>
      </c>
      <c r="E1770" s="11" t="s">
        <v>4</v>
      </c>
      <c r="F1770" s="12">
        <v>41097</v>
      </c>
      <c r="G1770" s="12">
        <v>41097</v>
      </c>
      <c r="H1770" s="11" t="str">
        <f t="shared" si="58"/>
        <v>平成4年12月5日</v>
      </c>
      <c r="I1770" s="22">
        <f t="shared" si="59"/>
        <v>33943</v>
      </c>
      <c r="J1770" s="1" t="str">
        <f>"00745291"</f>
        <v>00745291</v>
      </c>
      <c r="K1770" s="1" t="str">
        <f>"３２２　　　　　　　　　　　　　　　　　"</f>
        <v>３２２　　　　　　　　　　　　　　　　　</v>
      </c>
      <c r="L1770" s="1"/>
    </row>
    <row r="1771" spans="1:12" ht="18" customHeight="1" x14ac:dyDescent="0.15">
      <c r="A1771" s="11">
        <v>4268</v>
      </c>
      <c r="B1771" s="11" t="s">
        <v>317</v>
      </c>
      <c r="C1771" s="11" t="s">
        <v>318</v>
      </c>
      <c r="D1771" s="11">
        <v>1</v>
      </c>
      <c r="E1771" s="11" t="s">
        <v>17</v>
      </c>
      <c r="F1771" s="12">
        <v>54590</v>
      </c>
      <c r="G1771" s="12">
        <v>54590</v>
      </c>
      <c r="H1771" s="11" t="str">
        <f t="shared" si="58"/>
        <v>平成4年12月5日</v>
      </c>
      <c r="I1771" s="22">
        <f t="shared" si="59"/>
        <v>33943</v>
      </c>
      <c r="J1771" s="1" t="str">
        <f>"00745335"</f>
        <v>00745335</v>
      </c>
      <c r="K1771" s="1" t="str">
        <f>"３０１　　　　　　　　　　　　　　　　　"</f>
        <v>３０１　　　　　　　　　　　　　　　　　</v>
      </c>
      <c r="L1771" s="1"/>
    </row>
    <row r="1772" spans="1:12" ht="18" customHeight="1" x14ac:dyDescent="0.15">
      <c r="A1772" s="11">
        <v>4269</v>
      </c>
      <c r="B1772" s="11" t="s">
        <v>317</v>
      </c>
      <c r="C1772" s="11" t="s">
        <v>318</v>
      </c>
      <c r="D1772" s="11">
        <v>1</v>
      </c>
      <c r="E1772" s="11" t="s">
        <v>17</v>
      </c>
      <c r="F1772" s="12">
        <v>54590</v>
      </c>
      <c r="G1772" s="12">
        <v>54590</v>
      </c>
      <c r="H1772" s="11" t="str">
        <f t="shared" si="58"/>
        <v>平成4年12月5日</v>
      </c>
      <c r="I1772" s="22">
        <f t="shared" si="59"/>
        <v>33943</v>
      </c>
      <c r="J1772" s="1" t="str">
        <f>"00745337"</f>
        <v>00745337</v>
      </c>
      <c r="K1772" s="1" t="str">
        <f>"３０２　　　　　　　　　　　　　　　　　"</f>
        <v>３０２　　　　　　　　　　　　　　　　　</v>
      </c>
      <c r="L1772" s="1"/>
    </row>
    <row r="1773" spans="1:12" ht="18" customHeight="1" x14ac:dyDescent="0.15">
      <c r="A1773" s="11">
        <v>4271</v>
      </c>
      <c r="B1773" s="11" t="s">
        <v>321</v>
      </c>
      <c r="C1773" s="11" t="s">
        <v>322</v>
      </c>
      <c r="D1773" s="11">
        <v>1</v>
      </c>
      <c r="E1773" s="11" t="s">
        <v>17</v>
      </c>
      <c r="F1773" s="12">
        <v>136000</v>
      </c>
      <c r="G1773" s="12">
        <v>136000</v>
      </c>
      <c r="H1773" s="11" t="str">
        <f t="shared" si="58"/>
        <v>平成4年12月5日</v>
      </c>
      <c r="I1773" s="22">
        <f t="shared" si="59"/>
        <v>33943</v>
      </c>
      <c r="J1773" s="1" t="str">
        <f>"00745387"</f>
        <v>00745387</v>
      </c>
      <c r="K1773" s="1" t="str">
        <f>"３０１　　　　　　　　　　　　　　　　　"</f>
        <v>３０１　　　　　　　　　　　　　　　　　</v>
      </c>
      <c r="L1773" s="1"/>
    </row>
    <row r="1774" spans="1:12" ht="18" customHeight="1" x14ac:dyDescent="0.15">
      <c r="A1774" s="11">
        <v>4272</v>
      </c>
      <c r="B1774" s="11" t="s">
        <v>321</v>
      </c>
      <c r="C1774" s="11" t="s">
        <v>322</v>
      </c>
      <c r="D1774" s="11">
        <v>1</v>
      </c>
      <c r="E1774" s="11" t="s">
        <v>17</v>
      </c>
      <c r="F1774" s="12">
        <v>136000</v>
      </c>
      <c r="G1774" s="12">
        <v>136000</v>
      </c>
      <c r="H1774" s="11" t="str">
        <f t="shared" ref="H1774:H1837" si="60">"平成4年12月5日"</f>
        <v>平成4年12月5日</v>
      </c>
      <c r="I1774" s="22">
        <f t="shared" si="59"/>
        <v>33943</v>
      </c>
      <c r="J1774" s="1" t="str">
        <f>"00745389"</f>
        <v>00745389</v>
      </c>
      <c r="K1774" s="1" t="str">
        <f>"３０２　　　　　　　　　　　　　　　　　"</f>
        <v>３０２　　　　　　　　　　　　　　　　　</v>
      </c>
      <c r="L1774" s="1"/>
    </row>
    <row r="1775" spans="1:12" ht="18" customHeight="1" x14ac:dyDescent="0.15">
      <c r="A1775" s="11">
        <v>4273</v>
      </c>
      <c r="B1775" s="11" t="s">
        <v>321</v>
      </c>
      <c r="C1775" s="11" t="s">
        <v>323</v>
      </c>
      <c r="D1775" s="11">
        <v>1</v>
      </c>
      <c r="E1775" s="11" t="s">
        <v>17</v>
      </c>
      <c r="F1775" s="12">
        <v>181300</v>
      </c>
      <c r="G1775" s="12">
        <v>181300</v>
      </c>
      <c r="H1775" s="11" t="str">
        <f t="shared" si="60"/>
        <v>平成4年12月5日</v>
      </c>
      <c r="I1775" s="22">
        <f t="shared" si="59"/>
        <v>33943</v>
      </c>
      <c r="J1775" s="1" t="str">
        <f>"00745391"</f>
        <v>00745391</v>
      </c>
      <c r="K1775" s="1" t="str">
        <f>"３０３　　　　　　　　　　　　　　　　　"</f>
        <v>３０３　　　　　　　　　　　　　　　　　</v>
      </c>
      <c r="L1775" s="1"/>
    </row>
    <row r="1776" spans="1:12" ht="18" customHeight="1" x14ac:dyDescent="0.15">
      <c r="A1776" s="11">
        <v>4274</v>
      </c>
      <c r="B1776" s="11" t="s">
        <v>321</v>
      </c>
      <c r="C1776" s="11" t="s">
        <v>323</v>
      </c>
      <c r="D1776" s="11">
        <v>1</v>
      </c>
      <c r="E1776" s="11" t="s">
        <v>17</v>
      </c>
      <c r="F1776" s="12">
        <v>181300</v>
      </c>
      <c r="G1776" s="12">
        <v>181300</v>
      </c>
      <c r="H1776" s="11" t="str">
        <f t="shared" si="60"/>
        <v>平成4年12月5日</v>
      </c>
      <c r="I1776" s="22">
        <f t="shared" si="59"/>
        <v>33943</v>
      </c>
      <c r="J1776" s="1" t="str">
        <f>"00745393"</f>
        <v>00745393</v>
      </c>
      <c r="K1776" s="1" t="str">
        <f>"３０４　　　　　　　　　　　　　　　　　"</f>
        <v>３０４　　　　　　　　　　　　　　　　　</v>
      </c>
      <c r="L1776" s="1"/>
    </row>
    <row r="1777" spans="1:12" ht="18" customHeight="1" x14ac:dyDescent="0.15">
      <c r="A1777" s="11">
        <v>4275</v>
      </c>
      <c r="B1777" s="11" t="s">
        <v>321</v>
      </c>
      <c r="C1777" s="11" t="s">
        <v>323</v>
      </c>
      <c r="D1777" s="11">
        <v>1</v>
      </c>
      <c r="E1777" s="11" t="s">
        <v>17</v>
      </c>
      <c r="F1777" s="12">
        <v>181300</v>
      </c>
      <c r="G1777" s="12">
        <v>181300</v>
      </c>
      <c r="H1777" s="11" t="str">
        <f t="shared" si="60"/>
        <v>平成4年12月5日</v>
      </c>
      <c r="I1777" s="22">
        <f t="shared" si="59"/>
        <v>33943</v>
      </c>
      <c r="J1777" s="1" t="str">
        <f>"00745395"</f>
        <v>00745395</v>
      </c>
      <c r="K1777" s="1" t="str">
        <f>"３０５　　　　　　　　　　　　　　　　　"</f>
        <v>３０５　　　　　　　　　　　　　　　　　</v>
      </c>
      <c r="L1777" s="1"/>
    </row>
    <row r="1778" spans="1:12" ht="18" customHeight="1" x14ac:dyDescent="0.15">
      <c r="A1778" s="11">
        <v>4276</v>
      </c>
      <c r="B1778" s="11" t="s">
        <v>321</v>
      </c>
      <c r="C1778" s="11" t="s">
        <v>323</v>
      </c>
      <c r="D1778" s="11">
        <v>1</v>
      </c>
      <c r="E1778" s="11" t="s">
        <v>17</v>
      </c>
      <c r="F1778" s="12">
        <v>181300</v>
      </c>
      <c r="G1778" s="12">
        <v>181300</v>
      </c>
      <c r="H1778" s="11" t="str">
        <f t="shared" si="60"/>
        <v>平成4年12月5日</v>
      </c>
      <c r="I1778" s="22">
        <f t="shared" si="59"/>
        <v>33943</v>
      </c>
      <c r="J1778" s="1" t="str">
        <f>"00745397"</f>
        <v>00745397</v>
      </c>
      <c r="K1778" s="1" t="str">
        <f>"３０６　　　　　　　　　　　　　　　　　"</f>
        <v>３０６　　　　　　　　　　　　　　　　　</v>
      </c>
      <c r="L1778" s="1"/>
    </row>
    <row r="1779" spans="1:12" ht="18" customHeight="1" x14ac:dyDescent="0.15">
      <c r="A1779" s="11">
        <v>4277</v>
      </c>
      <c r="B1779" s="11" t="s">
        <v>321</v>
      </c>
      <c r="C1779" s="11" t="s">
        <v>324</v>
      </c>
      <c r="D1779" s="11">
        <v>1</v>
      </c>
      <c r="E1779" s="11" t="s">
        <v>17</v>
      </c>
      <c r="F1779" s="12">
        <v>313200</v>
      </c>
      <c r="G1779" s="12">
        <v>313200</v>
      </c>
      <c r="H1779" s="11" t="str">
        <f t="shared" si="60"/>
        <v>平成4年12月5日</v>
      </c>
      <c r="I1779" s="22">
        <f t="shared" si="59"/>
        <v>33943</v>
      </c>
      <c r="J1779" s="1" t="str">
        <f>"00745399"</f>
        <v>00745399</v>
      </c>
      <c r="K1779" s="1" t="str">
        <f>"３０７　　　　　　　　　　　　　　　　　"</f>
        <v>３０７　　　　　　　　　　　　　　　　　</v>
      </c>
      <c r="L1779" s="1"/>
    </row>
    <row r="1780" spans="1:12" ht="18" customHeight="1" x14ac:dyDescent="0.15">
      <c r="A1780" s="11">
        <v>4278</v>
      </c>
      <c r="B1780" s="11" t="s">
        <v>321</v>
      </c>
      <c r="C1780" s="11" t="s">
        <v>324</v>
      </c>
      <c r="D1780" s="11">
        <v>1</v>
      </c>
      <c r="E1780" s="11" t="s">
        <v>17</v>
      </c>
      <c r="F1780" s="12">
        <v>313200</v>
      </c>
      <c r="G1780" s="12">
        <v>313200</v>
      </c>
      <c r="H1780" s="11" t="str">
        <f t="shared" si="60"/>
        <v>平成4年12月5日</v>
      </c>
      <c r="I1780" s="22">
        <f t="shared" si="59"/>
        <v>33943</v>
      </c>
      <c r="J1780" s="1" t="str">
        <f>"00745401"</f>
        <v>00745401</v>
      </c>
      <c r="K1780" s="1" t="str">
        <f>"３０８　　　　　　　　　　　　　　　　　"</f>
        <v>３０８　　　　　　　　　　　　　　　　　</v>
      </c>
      <c r="L1780" s="1"/>
    </row>
    <row r="1781" spans="1:12" ht="18" customHeight="1" x14ac:dyDescent="0.15">
      <c r="A1781" s="11">
        <v>4279</v>
      </c>
      <c r="B1781" s="11" t="s">
        <v>321</v>
      </c>
      <c r="C1781" s="11" t="s">
        <v>324</v>
      </c>
      <c r="D1781" s="11">
        <v>1</v>
      </c>
      <c r="E1781" s="11" t="s">
        <v>17</v>
      </c>
      <c r="F1781" s="12">
        <v>313200</v>
      </c>
      <c r="G1781" s="12">
        <v>313200</v>
      </c>
      <c r="H1781" s="11" t="str">
        <f t="shared" si="60"/>
        <v>平成4年12月5日</v>
      </c>
      <c r="I1781" s="22">
        <f t="shared" si="59"/>
        <v>33943</v>
      </c>
      <c r="J1781" s="1" t="str">
        <f>"00745403"</f>
        <v>00745403</v>
      </c>
      <c r="K1781" s="1" t="str">
        <f>"３０９　　　　　　　　　　　　　　　　　"</f>
        <v>３０９　　　　　　　　　　　　　　　　　</v>
      </c>
      <c r="L1781" s="1"/>
    </row>
    <row r="1782" spans="1:12" ht="18" customHeight="1" x14ac:dyDescent="0.15">
      <c r="A1782" s="11">
        <v>4280</v>
      </c>
      <c r="B1782" s="11" t="s">
        <v>321</v>
      </c>
      <c r="C1782" s="11" t="s">
        <v>324</v>
      </c>
      <c r="D1782" s="11">
        <v>1</v>
      </c>
      <c r="E1782" s="11" t="s">
        <v>17</v>
      </c>
      <c r="F1782" s="12">
        <v>313200</v>
      </c>
      <c r="G1782" s="12">
        <v>313200</v>
      </c>
      <c r="H1782" s="11" t="str">
        <f t="shared" si="60"/>
        <v>平成4年12月5日</v>
      </c>
      <c r="I1782" s="22">
        <f t="shared" si="59"/>
        <v>33943</v>
      </c>
      <c r="J1782" s="1" t="str">
        <f>"00745405"</f>
        <v>00745405</v>
      </c>
      <c r="K1782" s="1" t="str">
        <f>"３１０　　　　　　　　　　　　　　　　　"</f>
        <v>３１０　　　　　　　　　　　　　　　　　</v>
      </c>
      <c r="L1782" s="1"/>
    </row>
    <row r="1783" spans="1:12" ht="18" customHeight="1" x14ac:dyDescent="0.15">
      <c r="A1783" s="11">
        <v>4281</v>
      </c>
      <c r="B1783" s="11" t="s">
        <v>321</v>
      </c>
      <c r="C1783" s="11" t="s">
        <v>325</v>
      </c>
      <c r="D1783" s="11">
        <v>1</v>
      </c>
      <c r="E1783" s="11" t="s">
        <v>17</v>
      </c>
      <c r="F1783" s="12">
        <v>136000</v>
      </c>
      <c r="G1783" s="12">
        <v>136000</v>
      </c>
      <c r="H1783" s="11" t="str">
        <f t="shared" si="60"/>
        <v>平成4年12月5日</v>
      </c>
      <c r="I1783" s="22">
        <f t="shared" si="59"/>
        <v>33943</v>
      </c>
      <c r="J1783" s="1" t="str">
        <f>"00745407"</f>
        <v>00745407</v>
      </c>
      <c r="K1783" s="1" t="str">
        <f>"３１１　　　　　　　　　　　　　　　　　"</f>
        <v>３１１　　　　　　　　　　　　　　　　　</v>
      </c>
      <c r="L1783" s="1"/>
    </row>
    <row r="1784" spans="1:12" ht="18" customHeight="1" x14ac:dyDescent="0.15">
      <c r="A1784" s="11">
        <v>4282</v>
      </c>
      <c r="B1784" s="11" t="s">
        <v>321</v>
      </c>
      <c r="C1784" s="11" t="s">
        <v>325</v>
      </c>
      <c r="D1784" s="11">
        <v>1</v>
      </c>
      <c r="E1784" s="11" t="s">
        <v>17</v>
      </c>
      <c r="F1784" s="12">
        <v>136000</v>
      </c>
      <c r="G1784" s="12">
        <v>136000</v>
      </c>
      <c r="H1784" s="11" t="str">
        <f t="shared" si="60"/>
        <v>平成4年12月5日</v>
      </c>
      <c r="I1784" s="22">
        <f t="shared" si="59"/>
        <v>33943</v>
      </c>
      <c r="J1784" s="1" t="str">
        <f>"00745409"</f>
        <v>00745409</v>
      </c>
      <c r="K1784" s="1" t="str">
        <f>"３１２　　　　　　　　　　　　　　　　　"</f>
        <v>３１２　　　　　　　　　　　　　　　　　</v>
      </c>
      <c r="L1784" s="1"/>
    </row>
    <row r="1785" spans="1:12" ht="18" customHeight="1" x14ac:dyDescent="0.15">
      <c r="A1785" s="11">
        <v>4331</v>
      </c>
      <c r="B1785" s="11" t="s">
        <v>336</v>
      </c>
      <c r="C1785" s="11" t="s">
        <v>337</v>
      </c>
      <c r="D1785" s="11">
        <v>1</v>
      </c>
      <c r="E1785" s="11" t="s">
        <v>4</v>
      </c>
      <c r="F1785" s="12">
        <v>23484</v>
      </c>
      <c r="G1785" s="12">
        <v>23484</v>
      </c>
      <c r="H1785" s="11" t="str">
        <f t="shared" si="60"/>
        <v>平成4年12月5日</v>
      </c>
      <c r="I1785" s="22">
        <f t="shared" si="59"/>
        <v>33943</v>
      </c>
      <c r="J1785" s="1" t="str">
        <f>"00745519"</f>
        <v>00745519</v>
      </c>
      <c r="K1785" s="1" t="str">
        <f>"３０１　　　　　　　　　　　　　　　　　"</f>
        <v>３０１　　　　　　　　　　　　　　　　　</v>
      </c>
      <c r="L1785" s="1"/>
    </row>
    <row r="1786" spans="1:12" ht="18" customHeight="1" x14ac:dyDescent="0.15">
      <c r="A1786" s="11">
        <v>4353</v>
      </c>
      <c r="B1786" s="11" t="s">
        <v>100</v>
      </c>
      <c r="C1786" s="11" t="s">
        <v>209</v>
      </c>
      <c r="D1786" s="11">
        <v>1</v>
      </c>
      <c r="E1786" s="11" t="s">
        <v>17</v>
      </c>
      <c r="F1786" s="12">
        <v>46865</v>
      </c>
      <c r="G1786" s="12">
        <v>46865</v>
      </c>
      <c r="H1786" s="11" t="str">
        <f t="shared" si="60"/>
        <v>平成4年12月5日</v>
      </c>
      <c r="I1786" s="22">
        <f t="shared" si="59"/>
        <v>33943</v>
      </c>
      <c r="J1786" s="1" t="str">
        <f>"00745599"</f>
        <v>00745599</v>
      </c>
      <c r="K1786" s="1" t="str">
        <f>"３２１　　　　　　　　　　　　　　　　　"</f>
        <v>３２１　　　　　　　　　　　　　　　　　</v>
      </c>
      <c r="L1786" s="1"/>
    </row>
    <row r="1787" spans="1:12" ht="18" customHeight="1" x14ac:dyDescent="0.15">
      <c r="A1787" s="11">
        <v>4354</v>
      </c>
      <c r="B1787" s="11" t="s">
        <v>100</v>
      </c>
      <c r="C1787" s="11" t="s">
        <v>209</v>
      </c>
      <c r="D1787" s="11">
        <v>1</v>
      </c>
      <c r="E1787" s="11" t="s">
        <v>17</v>
      </c>
      <c r="F1787" s="12">
        <v>46865</v>
      </c>
      <c r="G1787" s="12">
        <v>46865</v>
      </c>
      <c r="H1787" s="11" t="str">
        <f t="shared" si="60"/>
        <v>平成4年12月5日</v>
      </c>
      <c r="I1787" s="22">
        <f t="shared" si="59"/>
        <v>33943</v>
      </c>
      <c r="J1787" s="1" t="str">
        <f>"00745601"</f>
        <v>00745601</v>
      </c>
      <c r="K1787" s="1" t="str">
        <f>"３２２　　　　　　　　　　　　　　　　　"</f>
        <v>３２２　　　　　　　　　　　　　　　　　</v>
      </c>
      <c r="L1787" s="1"/>
    </row>
    <row r="1788" spans="1:12" ht="18" customHeight="1" x14ac:dyDescent="0.15">
      <c r="A1788" s="11">
        <v>4355</v>
      </c>
      <c r="B1788" s="11" t="s">
        <v>100</v>
      </c>
      <c r="C1788" s="11" t="s">
        <v>209</v>
      </c>
      <c r="D1788" s="11">
        <v>1</v>
      </c>
      <c r="E1788" s="11" t="s">
        <v>17</v>
      </c>
      <c r="F1788" s="12">
        <v>46865</v>
      </c>
      <c r="G1788" s="12">
        <v>46865</v>
      </c>
      <c r="H1788" s="11" t="str">
        <f t="shared" si="60"/>
        <v>平成4年12月5日</v>
      </c>
      <c r="I1788" s="22">
        <f t="shared" si="59"/>
        <v>33943</v>
      </c>
      <c r="J1788" s="1" t="str">
        <f>"00745603"</f>
        <v>00745603</v>
      </c>
      <c r="K1788" s="1" t="str">
        <f>"３２３　　　　　　　　　　　　　　　　　"</f>
        <v>３２３　　　　　　　　　　　　　　　　　</v>
      </c>
      <c r="L1788" s="1"/>
    </row>
    <row r="1789" spans="1:12" ht="18" customHeight="1" x14ac:dyDescent="0.15">
      <c r="A1789" s="11">
        <v>4356</v>
      </c>
      <c r="B1789" s="11" t="s">
        <v>100</v>
      </c>
      <c r="C1789" s="11" t="s">
        <v>209</v>
      </c>
      <c r="D1789" s="11">
        <v>1</v>
      </c>
      <c r="E1789" s="11" t="s">
        <v>17</v>
      </c>
      <c r="F1789" s="12">
        <v>46865</v>
      </c>
      <c r="G1789" s="12">
        <v>46865</v>
      </c>
      <c r="H1789" s="11" t="str">
        <f t="shared" si="60"/>
        <v>平成4年12月5日</v>
      </c>
      <c r="I1789" s="22">
        <f t="shared" si="59"/>
        <v>33943</v>
      </c>
      <c r="J1789" s="1" t="str">
        <f>"00745605"</f>
        <v>00745605</v>
      </c>
      <c r="K1789" s="1" t="str">
        <f>"３２４　　　　　　　　　　　　　　　　　"</f>
        <v>３２４　　　　　　　　　　　　　　　　　</v>
      </c>
      <c r="L1789" s="1"/>
    </row>
    <row r="1790" spans="1:12" ht="18" customHeight="1" x14ac:dyDescent="0.15">
      <c r="A1790" s="11">
        <v>4357</v>
      </c>
      <c r="B1790" s="11" t="s">
        <v>100</v>
      </c>
      <c r="C1790" s="11" t="s">
        <v>209</v>
      </c>
      <c r="D1790" s="11">
        <v>1</v>
      </c>
      <c r="E1790" s="11" t="s">
        <v>17</v>
      </c>
      <c r="F1790" s="12">
        <v>46865</v>
      </c>
      <c r="G1790" s="12">
        <v>46865</v>
      </c>
      <c r="H1790" s="11" t="str">
        <f t="shared" si="60"/>
        <v>平成4年12月5日</v>
      </c>
      <c r="I1790" s="22">
        <f t="shared" si="59"/>
        <v>33943</v>
      </c>
      <c r="J1790" s="1" t="str">
        <f>"00745607"</f>
        <v>00745607</v>
      </c>
      <c r="K1790" s="1" t="str">
        <f>"３２５　　　　　　　　　　　　　　　　　"</f>
        <v>３２５　　　　　　　　　　　　　　　　　</v>
      </c>
      <c r="L1790" s="1"/>
    </row>
    <row r="1791" spans="1:12" ht="18" customHeight="1" x14ac:dyDescent="0.15">
      <c r="A1791" s="11">
        <v>4358</v>
      </c>
      <c r="B1791" s="11" t="s">
        <v>100</v>
      </c>
      <c r="C1791" s="11" t="s">
        <v>209</v>
      </c>
      <c r="D1791" s="11">
        <v>1</v>
      </c>
      <c r="E1791" s="11" t="s">
        <v>17</v>
      </c>
      <c r="F1791" s="12">
        <v>46865</v>
      </c>
      <c r="G1791" s="12">
        <v>46865</v>
      </c>
      <c r="H1791" s="11" t="str">
        <f t="shared" si="60"/>
        <v>平成4年12月5日</v>
      </c>
      <c r="I1791" s="22">
        <f t="shared" si="59"/>
        <v>33943</v>
      </c>
      <c r="J1791" s="1" t="str">
        <f>"00745609"</f>
        <v>00745609</v>
      </c>
      <c r="K1791" s="1" t="str">
        <f>"３２６　　　　　　　　　　　　　　　　　"</f>
        <v>３２６　　　　　　　　　　　　　　　　　</v>
      </c>
      <c r="L1791" s="1"/>
    </row>
    <row r="1792" spans="1:12" ht="18" customHeight="1" x14ac:dyDescent="0.15">
      <c r="A1792" s="11">
        <v>4359</v>
      </c>
      <c r="B1792" s="11" t="s">
        <v>100</v>
      </c>
      <c r="C1792" s="11" t="s">
        <v>209</v>
      </c>
      <c r="D1792" s="11">
        <v>1</v>
      </c>
      <c r="E1792" s="11" t="s">
        <v>17</v>
      </c>
      <c r="F1792" s="12">
        <v>46865</v>
      </c>
      <c r="G1792" s="12">
        <v>46865</v>
      </c>
      <c r="H1792" s="11" t="str">
        <f t="shared" si="60"/>
        <v>平成4年12月5日</v>
      </c>
      <c r="I1792" s="22">
        <f t="shared" si="59"/>
        <v>33943</v>
      </c>
      <c r="J1792" s="1" t="str">
        <f>"00745611"</f>
        <v>00745611</v>
      </c>
      <c r="K1792" s="1" t="str">
        <f>"３２７　　　　　　　　　　　　　　　　　"</f>
        <v>３２７　　　　　　　　　　　　　　　　　</v>
      </c>
      <c r="L1792" s="1"/>
    </row>
    <row r="1793" spans="1:12" ht="18" customHeight="1" x14ac:dyDescent="0.15">
      <c r="A1793" s="11">
        <v>4360</v>
      </c>
      <c r="B1793" s="11" t="s">
        <v>100</v>
      </c>
      <c r="C1793" s="11" t="s">
        <v>209</v>
      </c>
      <c r="D1793" s="11">
        <v>1</v>
      </c>
      <c r="E1793" s="11" t="s">
        <v>17</v>
      </c>
      <c r="F1793" s="12">
        <v>46865</v>
      </c>
      <c r="G1793" s="12">
        <v>46865</v>
      </c>
      <c r="H1793" s="11" t="str">
        <f t="shared" si="60"/>
        <v>平成4年12月5日</v>
      </c>
      <c r="I1793" s="22">
        <f t="shared" si="59"/>
        <v>33943</v>
      </c>
      <c r="J1793" s="1" t="str">
        <f>"00745613"</f>
        <v>00745613</v>
      </c>
      <c r="K1793" s="1" t="str">
        <f>"３２８　　　　　　　　　　　　　　　　　"</f>
        <v>３２８　　　　　　　　　　　　　　　　　</v>
      </c>
      <c r="L1793" s="1"/>
    </row>
    <row r="1794" spans="1:12" ht="18" customHeight="1" x14ac:dyDescent="0.15">
      <c r="A1794" s="11">
        <v>4361</v>
      </c>
      <c r="B1794" s="11" t="s">
        <v>100</v>
      </c>
      <c r="C1794" s="11" t="s">
        <v>209</v>
      </c>
      <c r="D1794" s="11">
        <v>1</v>
      </c>
      <c r="E1794" s="11" t="s">
        <v>17</v>
      </c>
      <c r="F1794" s="12">
        <v>46865</v>
      </c>
      <c r="G1794" s="12">
        <v>46865</v>
      </c>
      <c r="H1794" s="11" t="str">
        <f t="shared" si="60"/>
        <v>平成4年12月5日</v>
      </c>
      <c r="I1794" s="22">
        <f t="shared" si="59"/>
        <v>33943</v>
      </c>
      <c r="J1794" s="1" t="str">
        <f>"00745614"</f>
        <v>00745614</v>
      </c>
      <c r="K1794" s="1" t="str">
        <f>"３２９　　　　　　　　　　　　　　　　　"</f>
        <v>３２９　　　　　　　　　　　　　　　　　</v>
      </c>
      <c r="L1794" s="1"/>
    </row>
    <row r="1795" spans="1:12" ht="18" customHeight="1" x14ac:dyDescent="0.15">
      <c r="A1795" s="11">
        <v>4362</v>
      </c>
      <c r="B1795" s="11" t="s">
        <v>100</v>
      </c>
      <c r="C1795" s="11" t="s">
        <v>209</v>
      </c>
      <c r="D1795" s="11">
        <v>1</v>
      </c>
      <c r="E1795" s="11" t="s">
        <v>17</v>
      </c>
      <c r="F1795" s="12">
        <v>46865</v>
      </c>
      <c r="G1795" s="12">
        <v>46865</v>
      </c>
      <c r="H1795" s="11" t="str">
        <f t="shared" si="60"/>
        <v>平成4年12月5日</v>
      </c>
      <c r="I1795" s="22">
        <f t="shared" si="59"/>
        <v>33943</v>
      </c>
      <c r="J1795" s="1" t="str">
        <f>"00745617"</f>
        <v>00745617</v>
      </c>
      <c r="K1795" s="1" t="str">
        <f>"３３０　　　　　　　　　　　　　　　　　"</f>
        <v>３３０　　　　　　　　　　　　　　　　　</v>
      </c>
      <c r="L1795" s="1"/>
    </row>
    <row r="1796" spans="1:12" ht="18" customHeight="1" x14ac:dyDescent="0.15">
      <c r="A1796" s="11">
        <v>4363</v>
      </c>
      <c r="B1796" s="11" t="s">
        <v>100</v>
      </c>
      <c r="C1796" s="11" t="s">
        <v>209</v>
      </c>
      <c r="D1796" s="11">
        <v>1</v>
      </c>
      <c r="E1796" s="11" t="s">
        <v>17</v>
      </c>
      <c r="F1796" s="12">
        <v>46865</v>
      </c>
      <c r="G1796" s="12">
        <v>46865</v>
      </c>
      <c r="H1796" s="11" t="str">
        <f t="shared" si="60"/>
        <v>平成4年12月5日</v>
      </c>
      <c r="I1796" s="22">
        <f t="shared" si="59"/>
        <v>33943</v>
      </c>
      <c r="J1796" s="1" t="str">
        <f>"00745619"</f>
        <v>00745619</v>
      </c>
      <c r="K1796" s="1" t="str">
        <f>"３３１　　　　　　　　　　　　　　　　　"</f>
        <v>３３１　　　　　　　　　　　　　　　　　</v>
      </c>
      <c r="L1796" s="1"/>
    </row>
    <row r="1797" spans="1:12" ht="18" customHeight="1" x14ac:dyDescent="0.15">
      <c r="A1797" s="11">
        <v>4364</v>
      </c>
      <c r="B1797" s="11" t="s">
        <v>100</v>
      </c>
      <c r="C1797" s="11" t="s">
        <v>209</v>
      </c>
      <c r="D1797" s="11">
        <v>1</v>
      </c>
      <c r="E1797" s="11" t="s">
        <v>17</v>
      </c>
      <c r="F1797" s="12">
        <v>46865</v>
      </c>
      <c r="G1797" s="12">
        <v>46865</v>
      </c>
      <c r="H1797" s="11" t="str">
        <f t="shared" si="60"/>
        <v>平成4年12月5日</v>
      </c>
      <c r="I1797" s="22">
        <f t="shared" si="59"/>
        <v>33943</v>
      </c>
      <c r="J1797" s="1" t="str">
        <f>"00745621"</f>
        <v>00745621</v>
      </c>
      <c r="K1797" s="1" t="str">
        <f>"３３２　　　　　　　　　　　　　　　　　"</f>
        <v>３３２　　　　　　　　　　　　　　　　　</v>
      </c>
      <c r="L1797" s="1"/>
    </row>
    <row r="1798" spans="1:12" ht="18" customHeight="1" x14ac:dyDescent="0.15">
      <c r="A1798" s="11">
        <v>4365</v>
      </c>
      <c r="B1798" s="11" t="s">
        <v>100</v>
      </c>
      <c r="C1798" s="11" t="s">
        <v>209</v>
      </c>
      <c r="D1798" s="11">
        <v>1</v>
      </c>
      <c r="E1798" s="11" t="s">
        <v>17</v>
      </c>
      <c r="F1798" s="12">
        <v>46865</v>
      </c>
      <c r="G1798" s="12">
        <v>46865</v>
      </c>
      <c r="H1798" s="11" t="str">
        <f t="shared" si="60"/>
        <v>平成4年12月5日</v>
      </c>
      <c r="I1798" s="22">
        <f t="shared" si="59"/>
        <v>33943</v>
      </c>
      <c r="J1798" s="1" t="str">
        <f>"00745622"</f>
        <v>00745622</v>
      </c>
      <c r="K1798" s="1" t="str">
        <f>"３３３　　　　　　　　　　　　　　　　　"</f>
        <v>３３３　　　　　　　　　　　　　　　　　</v>
      </c>
      <c r="L1798" s="1"/>
    </row>
    <row r="1799" spans="1:12" ht="18" customHeight="1" x14ac:dyDescent="0.15">
      <c r="A1799" s="11">
        <v>4366</v>
      </c>
      <c r="B1799" s="11" t="s">
        <v>100</v>
      </c>
      <c r="C1799" s="11" t="s">
        <v>209</v>
      </c>
      <c r="D1799" s="11">
        <v>1</v>
      </c>
      <c r="E1799" s="11" t="s">
        <v>17</v>
      </c>
      <c r="F1799" s="12">
        <v>46865</v>
      </c>
      <c r="G1799" s="12">
        <v>46865</v>
      </c>
      <c r="H1799" s="11" t="str">
        <f t="shared" si="60"/>
        <v>平成4年12月5日</v>
      </c>
      <c r="I1799" s="22">
        <f t="shared" si="59"/>
        <v>33943</v>
      </c>
      <c r="J1799" s="1" t="str">
        <f>"00745625"</f>
        <v>00745625</v>
      </c>
      <c r="K1799" s="1" t="str">
        <f>"３３４　　　　　　　　　　　　　　　　　"</f>
        <v>３３４　　　　　　　　　　　　　　　　　</v>
      </c>
      <c r="L1799" s="1"/>
    </row>
    <row r="1800" spans="1:12" ht="18" customHeight="1" x14ac:dyDescent="0.15">
      <c r="A1800" s="11">
        <v>4367</v>
      </c>
      <c r="B1800" s="11" t="s">
        <v>100</v>
      </c>
      <c r="C1800" s="11" t="s">
        <v>209</v>
      </c>
      <c r="D1800" s="11">
        <v>1</v>
      </c>
      <c r="E1800" s="11" t="s">
        <v>17</v>
      </c>
      <c r="F1800" s="12">
        <v>46865</v>
      </c>
      <c r="G1800" s="12">
        <v>46865</v>
      </c>
      <c r="H1800" s="11" t="str">
        <f t="shared" si="60"/>
        <v>平成4年12月5日</v>
      </c>
      <c r="I1800" s="22">
        <f t="shared" si="59"/>
        <v>33943</v>
      </c>
      <c r="J1800" s="1" t="str">
        <f>"00745627"</f>
        <v>00745627</v>
      </c>
      <c r="K1800" s="1" t="str">
        <f>"３３５　　　　　　　　　　　　　　　　　"</f>
        <v>３３５　　　　　　　　　　　　　　　　　</v>
      </c>
      <c r="L1800" s="1"/>
    </row>
    <row r="1801" spans="1:12" ht="18" customHeight="1" x14ac:dyDescent="0.15">
      <c r="A1801" s="11">
        <v>4368</v>
      </c>
      <c r="B1801" s="11" t="s">
        <v>100</v>
      </c>
      <c r="C1801" s="11" t="s">
        <v>209</v>
      </c>
      <c r="D1801" s="11">
        <v>1</v>
      </c>
      <c r="E1801" s="11" t="s">
        <v>17</v>
      </c>
      <c r="F1801" s="12">
        <v>46865</v>
      </c>
      <c r="G1801" s="12">
        <v>46865</v>
      </c>
      <c r="H1801" s="11" t="str">
        <f t="shared" si="60"/>
        <v>平成4年12月5日</v>
      </c>
      <c r="I1801" s="22">
        <f t="shared" si="59"/>
        <v>33943</v>
      </c>
      <c r="J1801" s="1" t="str">
        <f>"00745629"</f>
        <v>00745629</v>
      </c>
      <c r="K1801" s="1" t="str">
        <f>"３３８　　　　　　　　　　　　　　　　　"</f>
        <v>３３８　　　　　　　　　　　　　　　　　</v>
      </c>
      <c r="L1801" s="1"/>
    </row>
    <row r="1802" spans="1:12" ht="18" customHeight="1" x14ac:dyDescent="0.15">
      <c r="A1802" s="11">
        <v>4369</v>
      </c>
      <c r="B1802" s="11" t="s">
        <v>100</v>
      </c>
      <c r="C1802" s="11" t="s">
        <v>209</v>
      </c>
      <c r="D1802" s="11">
        <v>1</v>
      </c>
      <c r="E1802" s="11" t="s">
        <v>17</v>
      </c>
      <c r="F1802" s="12">
        <v>46865</v>
      </c>
      <c r="G1802" s="12">
        <v>46865</v>
      </c>
      <c r="H1802" s="11" t="str">
        <f t="shared" si="60"/>
        <v>平成4年12月5日</v>
      </c>
      <c r="I1802" s="22">
        <f t="shared" si="59"/>
        <v>33943</v>
      </c>
      <c r="J1802" s="1" t="str">
        <f>"00745631"</f>
        <v>00745631</v>
      </c>
      <c r="K1802" s="1" t="str">
        <f>"３３９　　　　　　　　　　　　　　　　　"</f>
        <v>３３９　　　　　　　　　　　　　　　　　</v>
      </c>
      <c r="L1802" s="1"/>
    </row>
    <row r="1803" spans="1:12" ht="18" customHeight="1" x14ac:dyDescent="0.15">
      <c r="A1803" s="11">
        <v>4370</v>
      </c>
      <c r="B1803" s="11" t="s">
        <v>100</v>
      </c>
      <c r="C1803" s="11" t="s">
        <v>209</v>
      </c>
      <c r="D1803" s="11">
        <v>1</v>
      </c>
      <c r="E1803" s="11" t="s">
        <v>17</v>
      </c>
      <c r="F1803" s="12">
        <v>46865</v>
      </c>
      <c r="G1803" s="12">
        <v>46865</v>
      </c>
      <c r="H1803" s="11" t="str">
        <f t="shared" si="60"/>
        <v>平成4年12月5日</v>
      </c>
      <c r="I1803" s="22">
        <f t="shared" si="59"/>
        <v>33943</v>
      </c>
      <c r="J1803" s="1" t="str">
        <f>"00745632"</f>
        <v>00745632</v>
      </c>
      <c r="K1803" s="1" t="str">
        <f>"３４０　　　　　　　　　　　　　　　　　"</f>
        <v>３４０　　　　　　　　　　　　　　　　　</v>
      </c>
      <c r="L1803" s="1"/>
    </row>
    <row r="1804" spans="1:12" ht="18" customHeight="1" x14ac:dyDescent="0.15">
      <c r="A1804" s="11">
        <v>4371</v>
      </c>
      <c r="B1804" s="11" t="s">
        <v>100</v>
      </c>
      <c r="C1804" s="11" t="s">
        <v>209</v>
      </c>
      <c r="D1804" s="11">
        <v>1</v>
      </c>
      <c r="E1804" s="11" t="s">
        <v>17</v>
      </c>
      <c r="F1804" s="12">
        <v>60255</v>
      </c>
      <c r="G1804" s="12">
        <v>60255</v>
      </c>
      <c r="H1804" s="11" t="str">
        <f t="shared" si="60"/>
        <v>平成4年12月5日</v>
      </c>
      <c r="I1804" s="22">
        <f t="shared" si="59"/>
        <v>33943</v>
      </c>
      <c r="J1804" s="1" t="str">
        <f>"00745634"</f>
        <v>00745634</v>
      </c>
      <c r="K1804" s="1" t="str">
        <f>"３４１　　　　　　　　　　　　　　　　　"</f>
        <v>３４１　　　　　　　　　　　　　　　　　</v>
      </c>
      <c r="L1804" s="1"/>
    </row>
    <row r="1805" spans="1:12" ht="18" customHeight="1" x14ac:dyDescent="0.15">
      <c r="A1805" s="11">
        <v>4372</v>
      </c>
      <c r="B1805" s="11" t="s">
        <v>100</v>
      </c>
      <c r="C1805" s="11" t="s">
        <v>209</v>
      </c>
      <c r="D1805" s="11">
        <v>1</v>
      </c>
      <c r="E1805" s="11" t="s">
        <v>17</v>
      </c>
      <c r="F1805" s="12">
        <v>60255</v>
      </c>
      <c r="G1805" s="12">
        <v>60255</v>
      </c>
      <c r="H1805" s="11" t="str">
        <f t="shared" si="60"/>
        <v>平成4年12月5日</v>
      </c>
      <c r="I1805" s="22">
        <f t="shared" si="59"/>
        <v>33943</v>
      </c>
      <c r="J1805" s="1" t="str">
        <f>"00745637"</f>
        <v>00745637</v>
      </c>
      <c r="K1805" s="1" t="str">
        <f>"３４２　　　　　　　　　　　　　　　　　"</f>
        <v>３４２　　　　　　　　　　　　　　　　　</v>
      </c>
      <c r="L1805" s="1"/>
    </row>
    <row r="1806" spans="1:12" ht="18" customHeight="1" x14ac:dyDescent="0.15">
      <c r="A1806" s="11">
        <v>4373</v>
      </c>
      <c r="B1806" s="11" t="s">
        <v>100</v>
      </c>
      <c r="C1806" s="11" t="s">
        <v>209</v>
      </c>
      <c r="D1806" s="11">
        <v>1</v>
      </c>
      <c r="E1806" s="11" t="s">
        <v>17</v>
      </c>
      <c r="F1806" s="12">
        <v>60255</v>
      </c>
      <c r="G1806" s="12">
        <v>60255</v>
      </c>
      <c r="H1806" s="11" t="str">
        <f t="shared" si="60"/>
        <v>平成4年12月5日</v>
      </c>
      <c r="I1806" s="22">
        <f t="shared" si="59"/>
        <v>33943</v>
      </c>
      <c r="J1806" s="1" t="str">
        <f>"00745639"</f>
        <v>00745639</v>
      </c>
      <c r="K1806" s="1" t="str">
        <f>"３４３　　　　　　　　　　　　　　　　　"</f>
        <v>３４３　　　　　　　　　　　　　　　　　</v>
      </c>
      <c r="L1806" s="1"/>
    </row>
    <row r="1807" spans="1:12" ht="18" customHeight="1" x14ac:dyDescent="0.15">
      <c r="A1807" s="11">
        <v>4374</v>
      </c>
      <c r="B1807" s="11" t="s">
        <v>100</v>
      </c>
      <c r="C1807" s="11" t="s">
        <v>209</v>
      </c>
      <c r="D1807" s="11">
        <v>1</v>
      </c>
      <c r="E1807" s="11" t="s">
        <v>17</v>
      </c>
      <c r="F1807" s="12">
        <v>60255</v>
      </c>
      <c r="G1807" s="12">
        <v>60255</v>
      </c>
      <c r="H1807" s="11" t="str">
        <f t="shared" si="60"/>
        <v>平成4年12月5日</v>
      </c>
      <c r="I1807" s="22">
        <f t="shared" si="59"/>
        <v>33943</v>
      </c>
      <c r="J1807" s="1" t="str">
        <f>"00745640"</f>
        <v>00745640</v>
      </c>
      <c r="K1807" s="1" t="str">
        <f>"３４４　　　　　　　　　　　　　　　　　"</f>
        <v>３４４　　　　　　　　　　　　　　　　　</v>
      </c>
      <c r="L1807" s="1"/>
    </row>
    <row r="1808" spans="1:12" ht="18" customHeight="1" x14ac:dyDescent="0.15">
      <c r="A1808" s="11">
        <v>4375</v>
      </c>
      <c r="B1808" s="11" t="s">
        <v>100</v>
      </c>
      <c r="C1808" s="11" t="s">
        <v>209</v>
      </c>
      <c r="D1808" s="11">
        <v>1</v>
      </c>
      <c r="E1808" s="11" t="s">
        <v>17</v>
      </c>
      <c r="F1808" s="12">
        <v>60255</v>
      </c>
      <c r="G1808" s="12">
        <v>60255</v>
      </c>
      <c r="H1808" s="11" t="str">
        <f t="shared" si="60"/>
        <v>平成4年12月5日</v>
      </c>
      <c r="I1808" s="22">
        <f t="shared" si="59"/>
        <v>33943</v>
      </c>
      <c r="J1808" s="1" t="str">
        <f>"00745642"</f>
        <v>00745642</v>
      </c>
      <c r="K1808" s="1" t="str">
        <f>"３４５　　　　　　　　　　　　　　　　　"</f>
        <v>３４５　　　　　　　　　　　　　　　　　</v>
      </c>
      <c r="L1808" s="1"/>
    </row>
    <row r="1809" spans="1:12" ht="18" customHeight="1" x14ac:dyDescent="0.15">
      <c r="A1809" s="11">
        <v>4376</v>
      </c>
      <c r="B1809" s="11" t="s">
        <v>100</v>
      </c>
      <c r="C1809" s="11" t="s">
        <v>209</v>
      </c>
      <c r="D1809" s="11">
        <v>1</v>
      </c>
      <c r="E1809" s="11" t="s">
        <v>17</v>
      </c>
      <c r="F1809" s="12">
        <v>60255</v>
      </c>
      <c r="G1809" s="12">
        <v>60255</v>
      </c>
      <c r="H1809" s="11" t="str">
        <f t="shared" si="60"/>
        <v>平成4年12月5日</v>
      </c>
      <c r="I1809" s="22">
        <f t="shared" si="59"/>
        <v>33943</v>
      </c>
      <c r="J1809" s="1" t="str">
        <f>"00745645"</f>
        <v>00745645</v>
      </c>
      <c r="K1809" s="1" t="str">
        <f>"３４６　　　　　　　　　　　　　　　　　"</f>
        <v>３４６　　　　　　　　　　　　　　　　　</v>
      </c>
      <c r="L1809" s="1"/>
    </row>
    <row r="1810" spans="1:12" ht="18" customHeight="1" x14ac:dyDescent="0.15">
      <c r="A1810" s="11">
        <v>4377</v>
      </c>
      <c r="B1810" s="11" t="s">
        <v>100</v>
      </c>
      <c r="C1810" s="11" t="s">
        <v>209</v>
      </c>
      <c r="D1810" s="11">
        <v>1</v>
      </c>
      <c r="E1810" s="11" t="s">
        <v>17</v>
      </c>
      <c r="F1810" s="12">
        <v>60255</v>
      </c>
      <c r="G1810" s="12">
        <v>60255</v>
      </c>
      <c r="H1810" s="11" t="str">
        <f t="shared" si="60"/>
        <v>平成4年12月5日</v>
      </c>
      <c r="I1810" s="22">
        <f t="shared" ref="I1810:I1873" si="61">DATEVALUE(H1810)</f>
        <v>33943</v>
      </c>
      <c r="J1810" s="1" t="str">
        <f>"00745647"</f>
        <v>00745647</v>
      </c>
      <c r="K1810" s="1" t="str">
        <f>"３４７　　　　　　　　　　　　　　　　　"</f>
        <v>３４７　　　　　　　　　　　　　　　　　</v>
      </c>
      <c r="L1810" s="1"/>
    </row>
    <row r="1811" spans="1:12" ht="18" customHeight="1" x14ac:dyDescent="0.15">
      <c r="A1811" s="11">
        <v>4378</v>
      </c>
      <c r="B1811" s="11" t="s">
        <v>100</v>
      </c>
      <c r="C1811" s="11" t="s">
        <v>209</v>
      </c>
      <c r="D1811" s="11">
        <v>1</v>
      </c>
      <c r="E1811" s="11" t="s">
        <v>17</v>
      </c>
      <c r="F1811" s="12">
        <v>60255</v>
      </c>
      <c r="G1811" s="12">
        <v>60255</v>
      </c>
      <c r="H1811" s="11" t="str">
        <f t="shared" si="60"/>
        <v>平成4年12月5日</v>
      </c>
      <c r="I1811" s="22">
        <f t="shared" si="61"/>
        <v>33943</v>
      </c>
      <c r="J1811" s="1" t="str">
        <f>"00745648"</f>
        <v>00745648</v>
      </c>
      <c r="K1811" s="1" t="str">
        <f>"３４８　　　　　　　　　　　　　　　　　"</f>
        <v>３４８　　　　　　　　　　　　　　　　　</v>
      </c>
      <c r="L1811" s="1"/>
    </row>
    <row r="1812" spans="1:12" ht="18" customHeight="1" x14ac:dyDescent="0.15">
      <c r="A1812" s="11">
        <v>4379</v>
      </c>
      <c r="B1812" s="11" t="s">
        <v>100</v>
      </c>
      <c r="C1812" s="11" t="s">
        <v>209</v>
      </c>
      <c r="D1812" s="11">
        <v>1</v>
      </c>
      <c r="E1812" s="11" t="s">
        <v>17</v>
      </c>
      <c r="F1812" s="12">
        <v>60255</v>
      </c>
      <c r="G1812" s="12">
        <v>60255</v>
      </c>
      <c r="H1812" s="11" t="str">
        <f t="shared" si="60"/>
        <v>平成4年12月5日</v>
      </c>
      <c r="I1812" s="22">
        <f t="shared" si="61"/>
        <v>33943</v>
      </c>
      <c r="J1812" s="1" t="str">
        <f>"00745651"</f>
        <v>00745651</v>
      </c>
      <c r="K1812" s="1" t="str">
        <f>"３４９　　　　　　　　　　　　　　　　　"</f>
        <v>３４９　　　　　　　　　　　　　　　　　</v>
      </c>
      <c r="L1812" s="1"/>
    </row>
    <row r="1813" spans="1:12" ht="18" customHeight="1" x14ac:dyDescent="0.15">
      <c r="A1813" s="11">
        <v>4380</v>
      </c>
      <c r="B1813" s="11" t="s">
        <v>100</v>
      </c>
      <c r="C1813" s="11" t="s">
        <v>209</v>
      </c>
      <c r="D1813" s="11">
        <v>1</v>
      </c>
      <c r="E1813" s="11" t="s">
        <v>17</v>
      </c>
      <c r="F1813" s="12">
        <v>60255</v>
      </c>
      <c r="G1813" s="12">
        <v>60255</v>
      </c>
      <c r="H1813" s="11" t="str">
        <f t="shared" si="60"/>
        <v>平成4年12月5日</v>
      </c>
      <c r="I1813" s="22">
        <f t="shared" si="61"/>
        <v>33943</v>
      </c>
      <c r="J1813" s="1" t="str">
        <f>"00745653"</f>
        <v>00745653</v>
      </c>
      <c r="K1813" s="1" t="str">
        <f>"３５０　　　　　　　　　　　　　　　　　"</f>
        <v>３５０　　　　　　　　　　　　　　　　　</v>
      </c>
      <c r="L1813" s="1"/>
    </row>
    <row r="1814" spans="1:12" ht="18" customHeight="1" x14ac:dyDescent="0.15">
      <c r="A1814" s="11">
        <v>4461</v>
      </c>
      <c r="B1814" s="11" t="s">
        <v>353</v>
      </c>
      <c r="C1814" s="11" t="s">
        <v>354</v>
      </c>
      <c r="D1814" s="11">
        <v>1</v>
      </c>
      <c r="E1814" s="11" t="s">
        <v>17</v>
      </c>
      <c r="F1814" s="12">
        <v>49500</v>
      </c>
      <c r="G1814" s="12">
        <v>49500</v>
      </c>
      <c r="H1814" s="11" t="str">
        <f t="shared" si="60"/>
        <v>平成4年12月5日</v>
      </c>
      <c r="I1814" s="22">
        <f t="shared" si="61"/>
        <v>33943</v>
      </c>
      <c r="J1814" s="1" t="str">
        <f>"00745819"</f>
        <v>00745819</v>
      </c>
      <c r="K1814" s="1" t="str">
        <f>"３０１　　　　　　　　　　　　　　　　　"</f>
        <v>３０１　　　　　　　　　　　　　　　　　</v>
      </c>
      <c r="L1814" s="1"/>
    </row>
    <row r="1815" spans="1:12" ht="18" customHeight="1" x14ac:dyDescent="0.15">
      <c r="A1815" s="11">
        <v>4462</v>
      </c>
      <c r="B1815" s="11" t="s">
        <v>353</v>
      </c>
      <c r="C1815" s="11" t="s">
        <v>355</v>
      </c>
      <c r="D1815" s="11">
        <v>1</v>
      </c>
      <c r="E1815" s="11" t="s">
        <v>17</v>
      </c>
      <c r="F1815" s="12">
        <v>49500</v>
      </c>
      <c r="G1815" s="12">
        <v>49500</v>
      </c>
      <c r="H1815" s="11" t="str">
        <f t="shared" si="60"/>
        <v>平成4年12月5日</v>
      </c>
      <c r="I1815" s="22">
        <f t="shared" si="61"/>
        <v>33943</v>
      </c>
      <c r="J1815" s="1" t="str">
        <f>"00745821"</f>
        <v>00745821</v>
      </c>
      <c r="K1815" s="1" t="str">
        <f>"３０２　　　　　　　　　　　　　　　　　"</f>
        <v>３０２　　　　　　　　　　　　　　　　　</v>
      </c>
      <c r="L1815" s="1"/>
    </row>
    <row r="1816" spans="1:12" ht="18" customHeight="1" x14ac:dyDescent="0.15">
      <c r="A1816" s="11">
        <v>4463</v>
      </c>
      <c r="B1816" s="11" t="s">
        <v>356</v>
      </c>
      <c r="C1816" s="11" t="s">
        <v>357</v>
      </c>
      <c r="D1816" s="11">
        <v>1</v>
      </c>
      <c r="E1816" s="11" t="s">
        <v>4</v>
      </c>
      <c r="F1816" s="12">
        <v>33000</v>
      </c>
      <c r="G1816" s="12">
        <v>33000</v>
      </c>
      <c r="H1816" s="11" t="str">
        <f t="shared" si="60"/>
        <v>平成4年12月5日</v>
      </c>
      <c r="I1816" s="22">
        <f t="shared" si="61"/>
        <v>33943</v>
      </c>
      <c r="J1816" s="1" t="str">
        <f>"00745823"</f>
        <v>00745823</v>
      </c>
      <c r="K1816" s="1" t="str">
        <f>"３０１　　　　　　　　　　　　　　　　　"</f>
        <v>３０１　　　　　　　　　　　　　　　　　</v>
      </c>
      <c r="L1816" s="1"/>
    </row>
    <row r="1817" spans="1:12" ht="18" customHeight="1" x14ac:dyDescent="0.15">
      <c r="A1817" s="11">
        <v>4464</v>
      </c>
      <c r="B1817" s="11" t="s">
        <v>356</v>
      </c>
      <c r="C1817" s="11" t="s">
        <v>358</v>
      </c>
      <c r="D1817" s="11">
        <v>1</v>
      </c>
      <c r="E1817" s="11" t="s">
        <v>4</v>
      </c>
      <c r="F1817" s="12">
        <v>53600</v>
      </c>
      <c r="G1817" s="12">
        <v>53600</v>
      </c>
      <c r="H1817" s="11" t="str">
        <f t="shared" si="60"/>
        <v>平成4年12月5日</v>
      </c>
      <c r="I1817" s="22">
        <f t="shared" si="61"/>
        <v>33943</v>
      </c>
      <c r="J1817" s="1" t="str">
        <f>"00745825"</f>
        <v>00745825</v>
      </c>
      <c r="K1817" s="1" t="str">
        <f>"３０２　　　　　　　　　　　　　　　　　"</f>
        <v>３０２　　　　　　　　　　　　　　　　　</v>
      </c>
      <c r="L1817" s="1"/>
    </row>
    <row r="1818" spans="1:12" ht="18" customHeight="1" x14ac:dyDescent="0.15">
      <c r="A1818" s="11">
        <v>4465</v>
      </c>
      <c r="B1818" s="11" t="s">
        <v>356</v>
      </c>
      <c r="C1818" s="11" t="s">
        <v>359</v>
      </c>
      <c r="D1818" s="11">
        <v>1</v>
      </c>
      <c r="E1818" s="11" t="s">
        <v>4</v>
      </c>
      <c r="F1818" s="12">
        <v>437750</v>
      </c>
      <c r="G1818" s="12">
        <v>437750</v>
      </c>
      <c r="H1818" s="11" t="str">
        <f t="shared" si="60"/>
        <v>平成4年12月5日</v>
      </c>
      <c r="I1818" s="22">
        <f t="shared" si="61"/>
        <v>33943</v>
      </c>
      <c r="J1818" s="1" t="str">
        <f>"00745827"</f>
        <v>00745827</v>
      </c>
      <c r="K1818" s="1" t="str">
        <f>"３０３　　　　　　　　　　　　　　　　　"</f>
        <v>３０３　　　　　　　　　　　　　　　　　</v>
      </c>
      <c r="L1818" s="1"/>
    </row>
    <row r="1819" spans="1:12" ht="18" customHeight="1" x14ac:dyDescent="0.15">
      <c r="A1819" s="11">
        <v>4466</v>
      </c>
      <c r="B1819" s="11" t="s">
        <v>356</v>
      </c>
      <c r="C1819" s="11" t="s">
        <v>359</v>
      </c>
      <c r="D1819" s="11">
        <v>1</v>
      </c>
      <c r="E1819" s="11" t="s">
        <v>4</v>
      </c>
      <c r="F1819" s="12">
        <v>437750</v>
      </c>
      <c r="G1819" s="12">
        <v>437750</v>
      </c>
      <c r="H1819" s="11" t="str">
        <f t="shared" si="60"/>
        <v>平成4年12月5日</v>
      </c>
      <c r="I1819" s="22">
        <f t="shared" si="61"/>
        <v>33943</v>
      </c>
      <c r="J1819" s="1" t="str">
        <f>"00745829"</f>
        <v>00745829</v>
      </c>
      <c r="K1819" s="1" t="str">
        <f>"３０４　　　　　　　　　　　　　　　　　"</f>
        <v>３０４　　　　　　　　　　　　　　　　　</v>
      </c>
      <c r="L1819" s="1"/>
    </row>
    <row r="1820" spans="1:12" s="40" customFormat="1" ht="18" customHeight="1" x14ac:dyDescent="0.15">
      <c r="A1820" s="25">
        <v>4579</v>
      </c>
      <c r="B1820" s="25" t="s">
        <v>382</v>
      </c>
      <c r="C1820" s="25" t="s">
        <v>383</v>
      </c>
      <c r="D1820" s="25">
        <v>1</v>
      </c>
      <c r="E1820" s="25" t="s">
        <v>4</v>
      </c>
      <c r="F1820" s="38">
        <v>176284</v>
      </c>
      <c r="G1820" s="38" t="s">
        <v>668</v>
      </c>
      <c r="H1820" s="25" t="str">
        <f t="shared" si="60"/>
        <v>平成4年12月5日</v>
      </c>
      <c r="I1820" s="39">
        <f t="shared" si="61"/>
        <v>33943</v>
      </c>
      <c r="J1820" s="25" t="str">
        <f>"00746067"</f>
        <v>00746067</v>
      </c>
      <c r="K1820" s="25" t="str">
        <f>"３０１　　　　　　　　　　　　　　　　　"</f>
        <v>３０１　　　　　　　　　　　　　　　　　</v>
      </c>
      <c r="L1820" s="25"/>
    </row>
    <row r="1821" spans="1:12" s="40" customFormat="1" ht="18" customHeight="1" x14ac:dyDescent="0.15">
      <c r="A1821" s="25">
        <v>4580</v>
      </c>
      <c r="B1821" s="25" t="s">
        <v>382</v>
      </c>
      <c r="C1821" s="25" t="s">
        <v>383</v>
      </c>
      <c r="D1821" s="25">
        <v>1</v>
      </c>
      <c r="E1821" s="25" t="s">
        <v>4</v>
      </c>
      <c r="F1821" s="38">
        <v>176284</v>
      </c>
      <c r="G1821" s="38" t="s">
        <v>668</v>
      </c>
      <c r="H1821" s="25" t="str">
        <f t="shared" si="60"/>
        <v>平成4年12月5日</v>
      </c>
      <c r="I1821" s="39">
        <f t="shared" si="61"/>
        <v>33943</v>
      </c>
      <c r="J1821" s="25" t="str">
        <f>"00746069"</f>
        <v>00746069</v>
      </c>
      <c r="K1821" s="25" t="str">
        <f>"３０２　　　　　　　　　　　　　　　　　"</f>
        <v>３０２　　　　　　　　　　　　　　　　　</v>
      </c>
      <c r="L1821" s="25"/>
    </row>
    <row r="1822" spans="1:12" s="40" customFormat="1" ht="18" customHeight="1" x14ac:dyDescent="0.15">
      <c r="A1822" s="25">
        <v>4581</v>
      </c>
      <c r="B1822" s="25" t="s">
        <v>382</v>
      </c>
      <c r="C1822" s="25" t="s">
        <v>383</v>
      </c>
      <c r="D1822" s="25">
        <v>1</v>
      </c>
      <c r="E1822" s="25" t="s">
        <v>4</v>
      </c>
      <c r="F1822" s="38">
        <v>176284</v>
      </c>
      <c r="G1822" s="38" t="s">
        <v>668</v>
      </c>
      <c r="H1822" s="25" t="str">
        <f t="shared" si="60"/>
        <v>平成4年12月5日</v>
      </c>
      <c r="I1822" s="39">
        <f t="shared" si="61"/>
        <v>33943</v>
      </c>
      <c r="J1822" s="25" t="str">
        <f>"00746071"</f>
        <v>00746071</v>
      </c>
      <c r="K1822" s="25" t="str">
        <f>"３０３　　　　　　　　　　　　　　　　　"</f>
        <v>３０３　　　　　　　　　　　　　　　　　</v>
      </c>
      <c r="L1822" s="25"/>
    </row>
    <row r="1823" spans="1:12" s="40" customFormat="1" ht="18" customHeight="1" x14ac:dyDescent="0.15">
      <c r="A1823" s="25">
        <v>4582</v>
      </c>
      <c r="B1823" s="25" t="s">
        <v>382</v>
      </c>
      <c r="C1823" s="25" t="s">
        <v>383</v>
      </c>
      <c r="D1823" s="25">
        <v>1</v>
      </c>
      <c r="E1823" s="25" t="s">
        <v>4</v>
      </c>
      <c r="F1823" s="38">
        <v>176284</v>
      </c>
      <c r="G1823" s="38" t="s">
        <v>668</v>
      </c>
      <c r="H1823" s="25" t="str">
        <f t="shared" si="60"/>
        <v>平成4年12月5日</v>
      </c>
      <c r="I1823" s="39">
        <f t="shared" si="61"/>
        <v>33943</v>
      </c>
      <c r="J1823" s="25" t="str">
        <f>"00746073"</f>
        <v>00746073</v>
      </c>
      <c r="K1823" s="25" t="str">
        <f>"３０４　　　　　　　　　　　　　　　　　"</f>
        <v>３０４　　　　　　　　　　　　　　　　　</v>
      </c>
      <c r="L1823" s="25"/>
    </row>
    <row r="1824" spans="1:12" ht="18" customHeight="1" x14ac:dyDescent="0.15">
      <c r="A1824" s="11">
        <v>4633</v>
      </c>
      <c r="B1824" s="11" t="s">
        <v>396</v>
      </c>
      <c r="C1824" s="11" t="s">
        <v>397</v>
      </c>
      <c r="D1824" s="11">
        <v>1</v>
      </c>
      <c r="E1824" s="11" t="s">
        <v>4</v>
      </c>
      <c r="F1824" s="12">
        <v>200900</v>
      </c>
      <c r="G1824" s="12">
        <v>200900</v>
      </c>
      <c r="H1824" s="11" t="str">
        <f t="shared" si="60"/>
        <v>平成4年12月5日</v>
      </c>
      <c r="I1824" s="22">
        <f t="shared" si="61"/>
        <v>33943</v>
      </c>
      <c r="J1824" s="1" t="str">
        <f>"00746181"</f>
        <v>00746181</v>
      </c>
      <c r="K1824" s="1" t="str">
        <f>"３０１　　　　　　　　　　　　　　　　　"</f>
        <v>３０１　　　　　　　　　　　　　　　　　</v>
      </c>
      <c r="L1824" s="1"/>
    </row>
    <row r="1825" spans="1:12" ht="18" customHeight="1" x14ac:dyDescent="0.15">
      <c r="A1825" s="11">
        <v>4634</v>
      </c>
      <c r="B1825" s="11" t="s">
        <v>396</v>
      </c>
      <c r="C1825" s="11" t="s">
        <v>398</v>
      </c>
      <c r="D1825" s="11">
        <v>1</v>
      </c>
      <c r="E1825" s="11" t="s">
        <v>4</v>
      </c>
      <c r="F1825" s="12">
        <v>35200</v>
      </c>
      <c r="G1825" s="12">
        <v>35200</v>
      </c>
      <c r="H1825" s="11" t="str">
        <f t="shared" si="60"/>
        <v>平成4年12月5日</v>
      </c>
      <c r="I1825" s="22">
        <f t="shared" si="61"/>
        <v>33943</v>
      </c>
      <c r="J1825" s="1" t="str">
        <f>"00746183"</f>
        <v>00746183</v>
      </c>
      <c r="K1825" s="1" t="str">
        <f>"３０２　　　　　　　　　　　　　　　　　"</f>
        <v>３０２　　　　　　　　　　　　　　　　　</v>
      </c>
      <c r="L1825" s="1"/>
    </row>
    <row r="1826" spans="1:12" ht="18" customHeight="1" x14ac:dyDescent="0.15">
      <c r="A1826" s="11">
        <v>4635</v>
      </c>
      <c r="B1826" s="11" t="s">
        <v>396</v>
      </c>
      <c r="C1826" s="11" t="s">
        <v>398</v>
      </c>
      <c r="D1826" s="11">
        <v>1</v>
      </c>
      <c r="E1826" s="11" t="s">
        <v>4</v>
      </c>
      <c r="F1826" s="12">
        <v>35200</v>
      </c>
      <c r="G1826" s="12">
        <v>35200</v>
      </c>
      <c r="H1826" s="11" t="str">
        <f t="shared" si="60"/>
        <v>平成4年12月5日</v>
      </c>
      <c r="I1826" s="22">
        <f t="shared" si="61"/>
        <v>33943</v>
      </c>
      <c r="J1826" s="1" t="str">
        <f>"00746185"</f>
        <v>00746185</v>
      </c>
      <c r="K1826" s="1" t="str">
        <f>"３０３　　　　　　　　　　　　　　　　　"</f>
        <v>３０３　　　　　　　　　　　　　　　　　</v>
      </c>
      <c r="L1826" s="1"/>
    </row>
    <row r="1827" spans="1:12" ht="18" customHeight="1" x14ac:dyDescent="0.15">
      <c r="A1827" s="11">
        <v>4692</v>
      </c>
      <c r="B1827" s="11" t="s">
        <v>119</v>
      </c>
      <c r="C1827" s="11" t="s">
        <v>424</v>
      </c>
      <c r="D1827" s="11">
        <v>1</v>
      </c>
      <c r="E1827" s="11" t="s">
        <v>4</v>
      </c>
      <c r="F1827" s="12">
        <v>61700</v>
      </c>
      <c r="G1827" s="12">
        <v>61700</v>
      </c>
      <c r="H1827" s="11" t="str">
        <f t="shared" si="60"/>
        <v>平成4年12月5日</v>
      </c>
      <c r="I1827" s="22">
        <f t="shared" si="61"/>
        <v>33943</v>
      </c>
      <c r="J1827" s="1" t="str">
        <f>"00746343"</f>
        <v>00746343</v>
      </c>
      <c r="K1827" s="1" t="str">
        <f>"３０１　　　　　　　　　　　　　　　　　"</f>
        <v>３０１　　　　　　　　　　　　　　　　　</v>
      </c>
      <c r="L1827" s="1"/>
    </row>
    <row r="1828" spans="1:12" ht="18" customHeight="1" x14ac:dyDescent="0.15">
      <c r="A1828" s="11">
        <v>4693</v>
      </c>
      <c r="B1828" s="11" t="s">
        <v>119</v>
      </c>
      <c r="C1828" s="11" t="s">
        <v>424</v>
      </c>
      <c r="D1828" s="11">
        <v>1</v>
      </c>
      <c r="E1828" s="11" t="s">
        <v>4</v>
      </c>
      <c r="F1828" s="12">
        <v>61700</v>
      </c>
      <c r="G1828" s="12">
        <v>61700</v>
      </c>
      <c r="H1828" s="11" t="str">
        <f t="shared" si="60"/>
        <v>平成4年12月5日</v>
      </c>
      <c r="I1828" s="22">
        <f t="shared" si="61"/>
        <v>33943</v>
      </c>
      <c r="J1828" s="1" t="str">
        <f>"00746345"</f>
        <v>00746345</v>
      </c>
      <c r="K1828" s="1" t="str">
        <f>"３０２　　　　　　　　　　　　　　　　　"</f>
        <v>３０２　　　　　　　　　　　　　　　　　</v>
      </c>
      <c r="L1828" s="1"/>
    </row>
    <row r="1829" spans="1:12" ht="18" customHeight="1" x14ac:dyDescent="0.15">
      <c r="A1829" s="11">
        <v>4694</v>
      </c>
      <c r="B1829" s="11" t="s">
        <v>119</v>
      </c>
      <c r="C1829" s="11" t="s">
        <v>425</v>
      </c>
      <c r="D1829" s="11">
        <v>1</v>
      </c>
      <c r="E1829" s="11" t="s">
        <v>4</v>
      </c>
      <c r="F1829" s="12">
        <v>95275</v>
      </c>
      <c r="G1829" s="12">
        <v>95275</v>
      </c>
      <c r="H1829" s="11" t="str">
        <f t="shared" si="60"/>
        <v>平成4年12月5日</v>
      </c>
      <c r="I1829" s="22">
        <f t="shared" si="61"/>
        <v>33943</v>
      </c>
      <c r="J1829" s="1" t="str">
        <f>"00746347"</f>
        <v>00746347</v>
      </c>
      <c r="K1829" s="1" t="str">
        <f>"３０３　　　　　　　　　　　　　　　　　"</f>
        <v>３０３　　　　　　　　　　　　　　　　　</v>
      </c>
      <c r="L1829" s="1"/>
    </row>
    <row r="1830" spans="1:12" ht="18" customHeight="1" x14ac:dyDescent="0.15">
      <c r="A1830" s="11">
        <v>4695</v>
      </c>
      <c r="B1830" s="11" t="s">
        <v>426</v>
      </c>
      <c r="C1830" s="11" t="s">
        <v>427</v>
      </c>
      <c r="D1830" s="11">
        <v>1</v>
      </c>
      <c r="E1830" s="11" t="s">
        <v>4</v>
      </c>
      <c r="F1830" s="12">
        <v>70555</v>
      </c>
      <c r="G1830" s="12">
        <v>70555</v>
      </c>
      <c r="H1830" s="11" t="str">
        <f t="shared" si="60"/>
        <v>平成4年12月5日</v>
      </c>
      <c r="I1830" s="22">
        <f t="shared" si="61"/>
        <v>33943</v>
      </c>
      <c r="J1830" s="1" t="str">
        <f>"00746351"</f>
        <v>00746351</v>
      </c>
      <c r="K1830" s="1" t="str">
        <f>"３０３　　　　　　　　　　　　　　　　　"</f>
        <v>３０３　　　　　　　　　　　　　　　　　</v>
      </c>
      <c r="L1830" s="1"/>
    </row>
    <row r="1831" spans="1:12" ht="18" customHeight="1" x14ac:dyDescent="0.15">
      <c r="A1831" s="11">
        <v>4696</v>
      </c>
      <c r="B1831" s="11" t="s">
        <v>426</v>
      </c>
      <c r="C1831" s="11" t="s">
        <v>427</v>
      </c>
      <c r="D1831" s="11">
        <v>1</v>
      </c>
      <c r="E1831" s="11" t="s">
        <v>4</v>
      </c>
      <c r="F1831" s="12">
        <v>70555</v>
      </c>
      <c r="G1831" s="12">
        <v>70555</v>
      </c>
      <c r="H1831" s="11" t="str">
        <f t="shared" si="60"/>
        <v>平成4年12月5日</v>
      </c>
      <c r="I1831" s="22">
        <f t="shared" si="61"/>
        <v>33943</v>
      </c>
      <c r="J1831" s="1" t="str">
        <f>"00746353"</f>
        <v>00746353</v>
      </c>
      <c r="K1831" s="1" t="str">
        <f>"３０４　　　　　　　　　　　　　　　　　"</f>
        <v>３０４　　　　　　　　　　　　　　　　　</v>
      </c>
      <c r="L1831" s="1"/>
    </row>
    <row r="1832" spans="1:12" ht="18" customHeight="1" x14ac:dyDescent="0.15">
      <c r="A1832" s="11">
        <v>4699</v>
      </c>
      <c r="B1832" s="11" t="s">
        <v>431</v>
      </c>
      <c r="C1832" s="11" t="s">
        <v>432</v>
      </c>
      <c r="D1832" s="11">
        <v>1</v>
      </c>
      <c r="E1832" s="11" t="s">
        <v>21</v>
      </c>
      <c r="F1832" s="12">
        <v>28840</v>
      </c>
      <c r="G1832" s="12">
        <v>28840</v>
      </c>
      <c r="H1832" s="11" t="str">
        <f t="shared" si="60"/>
        <v>平成4年12月5日</v>
      </c>
      <c r="I1832" s="22">
        <f t="shared" si="61"/>
        <v>33943</v>
      </c>
      <c r="J1832" s="1" t="str">
        <f>"00746359"</f>
        <v>00746359</v>
      </c>
      <c r="K1832" s="1" t="str">
        <f>"３０１　　　　　　　　　　　　　　　　　"</f>
        <v>３０１　　　　　　　　　　　　　　　　　</v>
      </c>
      <c r="L1832" s="1"/>
    </row>
    <row r="1833" spans="1:12" ht="18" customHeight="1" x14ac:dyDescent="0.15">
      <c r="A1833" s="11">
        <v>4700</v>
      </c>
      <c r="B1833" s="11" t="s">
        <v>431</v>
      </c>
      <c r="C1833" s="11" t="s">
        <v>432</v>
      </c>
      <c r="D1833" s="11">
        <v>1</v>
      </c>
      <c r="E1833" s="11" t="s">
        <v>21</v>
      </c>
      <c r="F1833" s="12">
        <v>28840</v>
      </c>
      <c r="G1833" s="12">
        <v>28840</v>
      </c>
      <c r="H1833" s="11" t="str">
        <f t="shared" si="60"/>
        <v>平成4年12月5日</v>
      </c>
      <c r="I1833" s="22">
        <f t="shared" si="61"/>
        <v>33943</v>
      </c>
      <c r="J1833" s="1" t="str">
        <f>"00746361"</f>
        <v>00746361</v>
      </c>
      <c r="K1833" s="1" t="str">
        <f>"３０２　　　　　　　　　　　　　　　　　"</f>
        <v>３０２　　　　　　　　　　　　　　　　　</v>
      </c>
      <c r="L1833" s="1"/>
    </row>
    <row r="1834" spans="1:12" ht="18" customHeight="1" x14ac:dyDescent="0.15">
      <c r="A1834" s="11">
        <v>4701</v>
      </c>
      <c r="B1834" s="11" t="s">
        <v>431</v>
      </c>
      <c r="C1834" s="11" t="s">
        <v>432</v>
      </c>
      <c r="D1834" s="11">
        <v>1</v>
      </c>
      <c r="E1834" s="11" t="s">
        <v>21</v>
      </c>
      <c r="F1834" s="12">
        <v>28840</v>
      </c>
      <c r="G1834" s="12">
        <v>28840</v>
      </c>
      <c r="H1834" s="11" t="str">
        <f t="shared" si="60"/>
        <v>平成4年12月5日</v>
      </c>
      <c r="I1834" s="22">
        <f t="shared" si="61"/>
        <v>33943</v>
      </c>
      <c r="J1834" s="1" t="str">
        <f>"00746363"</f>
        <v>00746363</v>
      </c>
      <c r="K1834" s="1" t="str">
        <f>"３０３　　　　　　　　　　　　　　　　　"</f>
        <v>３０３　　　　　　　　　　　　　　　　　</v>
      </c>
      <c r="L1834" s="1"/>
    </row>
    <row r="1835" spans="1:12" ht="18" customHeight="1" x14ac:dyDescent="0.15">
      <c r="A1835" s="11">
        <v>4702</v>
      </c>
      <c r="B1835" s="11" t="s">
        <v>431</v>
      </c>
      <c r="C1835" s="11" t="s">
        <v>432</v>
      </c>
      <c r="D1835" s="11">
        <v>1</v>
      </c>
      <c r="E1835" s="11" t="s">
        <v>21</v>
      </c>
      <c r="F1835" s="12">
        <v>28840</v>
      </c>
      <c r="G1835" s="12">
        <v>28840</v>
      </c>
      <c r="H1835" s="11" t="str">
        <f t="shared" si="60"/>
        <v>平成4年12月5日</v>
      </c>
      <c r="I1835" s="22">
        <f t="shared" si="61"/>
        <v>33943</v>
      </c>
      <c r="J1835" s="1" t="str">
        <f>"00746365"</f>
        <v>00746365</v>
      </c>
      <c r="K1835" s="1" t="str">
        <f>"３０４　　　　　　　　　　　　　　　　　"</f>
        <v>３０４　　　　　　　　　　　　　　　　　</v>
      </c>
      <c r="L1835" s="1"/>
    </row>
    <row r="1836" spans="1:12" ht="18" customHeight="1" x14ac:dyDescent="0.15">
      <c r="A1836" s="11">
        <v>4703</v>
      </c>
      <c r="B1836" s="11" t="s">
        <v>433</v>
      </c>
      <c r="C1836" s="11" t="s">
        <v>434</v>
      </c>
      <c r="D1836" s="11">
        <v>1</v>
      </c>
      <c r="E1836" s="11" t="s">
        <v>17</v>
      </c>
      <c r="F1836" s="12">
        <v>136990</v>
      </c>
      <c r="G1836" s="12">
        <v>136990</v>
      </c>
      <c r="H1836" s="11" t="str">
        <f t="shared" si="60"/>
        <v>平成4年12月5日</v>
      </c>
      <c r="I1836" s="22">
        <f t="shared" si="61"/>
        <v>33943</v>
      </c>
      <c r="J1836" s="1" t="str">
        <f>"00746367"</f>
        <v>00746367</v>
      </c>
      <c r="K1836" s="1" t="str">
        <f>"３０１　　　　　　　　　　　　　　　　　"</f>
        <v>３０１　　　　　　　　　　　　　　　　　</v>
      </c>
      <c r="L1836" s="1"/>
    </row>
    <row r="1837" spans="1:12" ht="18" customHeight="1" x14ac:dyDescent="0.15">
      <c r="A1837" s="11">
        <v>4704</v>
      </c>
      <c r="B1837" s="11" t="s">
        <v>433</v>
      </c>
      <c r="C1837" s="11" t="s">
        <v>434</v>
      </c>
      <c r="D1837" s="11">
        <v>1</v>
      </c>
      <c r="E1837" s="11" t="s">
        <v>17</v>
      </c>
      <c r="F1837" s="12">
        <v>136990</v>
      </c>
      <c r="G1837" s="12">
        <v>136990</v>
      </c>
      <c r="H1837" s="11" t="str">
        <f t="shared" si="60"/>
        <v>平成4年12月5日</v>
      </c>
      <c r="I1837" s="22">
        <f t="shared" si="61"/>
        <v>33943</v>
      </c>
      <c r="J1837" s="1" t="str">
        <f>"00746371"</f>
        <v>00746371</v>
      </c>
      <c r="K1837" s="1" t="str">
        <f>"３０３　　　　　　　　　　　　　　　　　"</f>
        <v>３０３　　　　　　　　　　　　　　　　　</v>
      </c>
      <c r="L1837" s="1"/>
    </row>
    <row r="1838" spans="1:12" ht="18" customHeight="1" x14ac:dyDescent="0.15">
      <c r="A1838" s="11">
        <v>4705</v>
      </c>
      <c r="B1838" s="11" t="s">
        <v>433</v>
      </c>
      <c r="C1838" s="11" t="s">
        <v>434</v>
      </c>
      <c r="D1838" s="11">
        <v>1</v>
      </c>
      <c r="E1838" s="11" t="s">
        <v>17</v>
      </c>
      <c r="F1838" s="12">
        <v>136990</v>
      </c>
      <c r="G1838" s="12">
        <v>136990</v>
      </c>
      <c r="H1838" s="11" t="str">
        <f t="shared" ref="H1838:H1901" si="62">"平成4年12月5日"</f>
        <v>平成4年12月5日</v>
      </c>
      <c r="I1838" s="22">
        <f t="shared" si="61"/>
        <v>33943</v>
      </c>
      <c r="J1838" s="1" t="str">
        <f>"00746373"</f>
        <v>00746373</v>
      </c>
      <c r="K1838" s="1" t="str">
        <f>"３０４　　　　　　　　　　　　　　　　　"</f>
        <v>３０４　　　　　　　　　　　　　　　　　</v>
      </c>
      <c r="L1838" s="1"/>
    </row>
    <row r="1839" spans="1:12" ht="18" customHeight="1" x14ac:dyDescent="0.15">
      <c r="A1839" s="11">
        <v>4706</v>
      </c>
      <c r="B1839" s="11" t="s">
        <v>433</v>
      </c>
      <c r="C1839" s="11" t="s">
        <v>434</v>
      </c>
      <c r="D1839" s="11">
        <v>1</v>
      </c>
      <c r="E1839" s="11" t="s">
        <v>17</v>
      </c>
      <c r="F1839" s="12">
        <v>136990</v>
      </c>
      <c r="G1839" s="12">
        <v>136990</v>
      </c>
      <c r="H1839" s="11" t="str">
        <f t="shared" si="62"/>
        <v>平成4年12月5日</v>
      </c>
      <c r="I1839" s="22">
        <f t="shared" si="61"/>
        <v>33943</v>
      </c>
      <c r="J1839" s="1" t="str">
        <f>"00746375"</f>
        <v>00746375</v>
      </c>
      <c r="K1839" s="1" t="str">
        <f>"３０５　　　　　　　　　　　　　　　　　"</f>
        <v>３０５　　　　　　　　　　　　　　　　　</v>
      </c>
      <c r="L1839" s="1"/>
    </row>
    <row r="1840" spans="1:12" ht="18" customHeight="1" x14ac:dyDescent="0.15">
      <c r="A1840" s="11">
        <v>4707</v>
      </c>
      <c r="B1840" s="11" t="s">
        <v>433</v>
      </c>
      <c r="C1840" s="11" t="s">
        <v>434</v>
      </c>
      <c r="D1840" s="11">
        <v>1</v>
      </c>
      <c r="E1840" s="11" t="s">
        <v>17</v>
      </c>
      <c r="F1840" s="12">
        <v>136990</v>
      </c>
      <c r="G1840" s="12">
        <v>136990</v>
      </c>
      <c r="H1840" s="11" t="str">
        <f t="shared" si="62"/>
        <v>平成4年12月5日</v>
      </c>
      <c r="I1840" s="22">
        <f t="shared" si="61"/>
        <v>33943</v>
      </c>
      <c r="J1840" s="1" t="str">
        <f>"00746377"</f>
        <v>00746377</v>
      </c>
      <c r="K1840" s="1" t="str">
        <f>"３０６　　　　　　　　　　　　　　　　　"</f>
        <v>３０６　　　　　　　　　　　　　　　　　</v>
      </c>
      <c r="L1840" s="1"/>
    </row>
    <row r="1841" spans="1:12" ht="18" customHeight="1" x14ac:dyDescent="0.15">
      <c r="A1841" s="11">
        <v>4708</v>
      </c>
      <c r="B1841" s="11" t="s">
        <v>433</v>
      </c>
      <c r="C1841" s="11" t="s">
        <v>435</v>
      </c>
      <c r="D1841" s="11">
        <v>1</v>
      </c>
      <c r="E1841" s="11" t="s">
        <v>17</v>
      </c>
      <c r="F1841" s="12">
        <v>48616</v>
      </c>
      <c r="G1841" s="12">
        <v>48616</v>
      </c>
      <c r="H1841" s="11" t="str">
        <f t="shared" si="62"/>
        <v>平成4年12月5日</v>
      </c>
      <c r="I1841" s="22">
        <f t="shared" si="61"/>
        <v>33943</v>
      </c>
      <c r="J1841" s="1" t="str">
        <f>"00746381"</f>
        <v>00746381</v>
      </c>
      <c r="K1841" s="1" t="str">
        <f>"３０８　　　　　　　　　　　　　　　　　"</f>
        <v>３０８　　　　　　　　　　　　　　　　　</v>
      </c>
      <c r="L1841" s="1"/>
    </row>
    <row r="1842" spans="1:12" ht="18" customHeight="1" x14ac:dyDescent="0.15">
      <c r="A1842" s="25">
        <v>4743</v>
      </c>
      <c r="B1842" s="25" t="s">
        <v>442</v>
      </c>
      <c r="C1842" s="25" t="s">
        <v>443</v>
      </c>
      <c r="D1842" s="25">
        <v>1</v>
      </c>
      <c r="E1842" s="25" t="s">
        <v>21</v>
      </c>
      <c r="F1842" s="38">
        <v>70040</v>
      </c>
      <c r="G1842" s="38" t="s">
        <v>668</v>
      </c>
      <c r="H1842" s="25" t="str">
        <f t="shared" si="62"/>
        <v>平成4年12月5日</v>
      </c>
      <c r="I1842" s="22">
        <f t="shared" si="61"/>
        <v>33943</v>
      </c>
      <c r="J1842" s="1" t="str">
        <f>"00746458"</f>
        <v>00746458</v>
      </c>
      <c r="K1842" s="1" t="str">
        <f>"３０１　　　　　　　　　　　　　　　　　"</f>
        <v>３０１　　　　　　　　　　　　　　　　　</v>
      </c>
      <c r="L1842" s="1"/>
    </row>
    <row r="1843" spans="1:12" ht="18" customHeight="1" x14ac:dyDescent="0.15">
      <c r="A1843" s="25">
        <v>4744</v>
      </c>
      <c r="B1843" s="25" t="s">
        <v>442</v>
      </c>
      <c r="C1843" s="25" t="s">
        <v>443</v>
      </c>
      <c r="D1843" s="25">
        <v>1</v>
      </c>
      <c r="E1843" s="25" t="s">
        <v>21</v>
      </c>
      <c r="F1843" s="38">
        <v>70040</v>
      </c>
      <c r="G1843" s="38" t="s">
        <v>668</v>
      </c>
      <c r="H1843" s="25" t="str">
        <f t="shared" si="62"/>
        <v>平成4年12月5日</v>
      </c>
      <c r="I1843" s="22">
        <f t="shared" si="61"/>
        <v>33943</v>
      </c>
      <c r="J1843" s="1" t="str">
        <f>"00746461"</f>
        <v>00746461</v>
      </c>
      <c r="K1843" s="1" t="str">
        <f>"３０２　　　　　　　　　　　　　　　　　"</f>
        <v>３０２　　　　　　　　　　　　　　　　　</v>
      </c>
      <c r="L1843" s="1"/>
    </row>
    <row r="1844" spans="1:12" ht="18" customHeight="1" x14ac:dyDescent="0.15">
      <c r="A1844" s="11">
        <v>4745</v>
      </c>
      <c r="B1844" s="11" t="s">
        <v>444</v>
      </c>
      <c r="C1844" s="11" t="s">
        <v>445</v>
      </c>
      <c r="D1844" s="11">
        <v>1</v>
      </c>
      <c r="E1844" s="11" t="s">
        <v>21</v>
      </c>
      <c r="F1844" s="12">
        <v>74160</v>
      </c>
      <c r="G1844" s="12">
        <v>74160</v>
      </c>
      <c r="H1844" s="11" t="str">
        <f t="shared" si="62"/>
        <v>平成4年12月5日</v>
      </c>
      <c r="I1844" s="22">
        <f t="shared" si="61"/>
        <v>33943</v>
      </c>
      <c r="J1844" s="1" t="str">
        <f>"00746463"</f>
        <v>00746463</v>
      </c>
      <c r="K1844" s="1" t="str">
        <f>"３０１　　　　　　　　　　　　　　　　　"</f>
        <v>３０１　　　　　　　　　　　　　　　　　</v>
      </c>
      <c r="L1844" s="1"/>
    </row>
    <row r="1845" spans="1:12" ht="18" customHeight="1" x14ac:dyDescent="0.15">
      <c r="A1845" s="11">
        <v>4746</v>
      </c>
      <c r="B1845" s="11" t="s">
        <v>444</v>
      </c>
      <c r="C1845" s="11" t="s">
        <v>445</v>
      </c>
      <c r="D1845" s="11">
        <v>1</v>
      </c>
      <c r="E1845" s="11" t="s">
        <v>21</v>
      </c>
      <c r="F1845" s="12">
        <v>74160</v>
      </c>
      <c r="G1845" s="12">
        <v>74160</v>
      </c>
      <c r="H1845" s="11" t="str">
        <f t="shared" si="62"/>
        <v>平成4年12月5日</v>
      </c>
      <c r="I1845" s="22">
        <f t="shared" si="61"/>
        <v>33943</v>
      </c>
      <c r="J1845" s="1" t="str">
        <f>"00746465"</f>
        <v>00746465</v>
      </c>
      <c r="K1845" s="1" t="str">
        <f>"３０２　　　　　　　　　　　　　　　　　"</f>
        <v>３０２　　　　　　　　　　　　　　　　　</v>
      </c>
      <c r="L1845" s="1"/>
    </row>
    <row r="1846" spans="1:12" ht="18" customHeight="1" x14ac:dyDescent="0.15">
      <c r="A1846" s="11">
        <v>4747</v>
      </c>
      <c r="B1846" s="11" t="s">
        <v>444</v>
      </c>
      <c r="C1846" s="11" t="s">
        <v>445</v>
      </c>
      <c r="D1846" s="11">
        <v>1</v>
      </c>
      <c r="E1846" s="11" t="s">
        <v>21</v>
      </c>
      <c r="F1846" s="12">
        <v>74160</v>
      </c>
      <c r="G1846" s="12">
        <v>74160</v>
      </c>
      <c r="H1846" s="11" t="str">
        <f t="shared" si="62"/>
        <v>平成4年12月5日</v>
      </c>
      <c r="I1846" s="22">
        <f t="shared" si="61"/>
        <v>33943</v>
      </c>
      <c r="J1846" s="1" t="str">
        <f>"00746467"</f>
        <v>00746467</v>
      </c>
      <c r="K1846" s="1" t="str">
        <f>"３０３　　　　　　　　　　　　　　　　　"</f>
        <v>３０３　　　　　　　　　　　　　　　　　</v>
      </c>
      <c r="L1846" s="1"/>
    </row>
    <row r="1847" spans="1:12" ht="18" customHeight="1" x14ac:dyDescent="0.15">
      <c r="A1847" s="11">
        <v>4748</v>
      </c>
      <c r="B1847" s="11" t="s">
        <v>444</v>
      </c>
      <c r="C1847" s="11" t="s">
        <v>445</v>
      </c>
      <c r="D1847" s="11">
        <v>1</v>
      </c>
      <c r="E1847" s="11" t="s">
        <v>21</v>
      </c>
      <c r="F1847" s="12">
        <v>74160</v>
      </c>
      <c r="G1847" s="12">
        <v>74160</v>
      </c>
      <c r="H1847" s="11" t="str">
        <f t="shared" si="62"/>
        <v>平成4年12月5日</v>
      </c>
      <c r="I1847" s="22">
        <f t="shared" si="61"/>
        <v>33943</v>
      </c>
      <c r="J1847" s="1" t="str">
        <f>"00746469"</f>
        <v>00746469</v>
      </c>
      <c r="K1847" s="1" t="str">
        <f>"３０４　　　　　　　　　　　　　　　　　"</f>
        <v>３０４　　　　　　　　　　　　　　　　　</v>
      </c>
      <c r="L1847" s="1"/>
    </row>
    <row r="1848" spans="1:12" ht="18" customHeight="1" x14ac:dyDescent="0.15">
      <c r="A1848" s="11">
        <v>4749</v>
      </c>
      <c r="B1848" s="11" t="s">
        <v>444</v>
      </c>
      <c r="C1848" s="11" t="s">
        <v>445</v>
      </c>
      <c r="D1848" s="11">
        <v>1</v>
      </c>
      <c r="E1848" s="11" t="s">
        <v>21</v>
      </c>
      <c r="F1848" s="12">
        <v>74160</v>
      </c>
      <c r="G1848" s="12">
        <v>74160</v>
      </c>
      <c r="H1848" s="11" t="str">
        <f t="shared" si="62"/>
        <v>平成4年12月5日</v>
      </c>
      <c r="I1848" s="22">
        <f t="shared" si="61"/>
        <v>33943</v>
      </c>
      <c r="J1848" s="1" t="str">
        <f>"00746471"</f>
        <v>00746471</v>
      </c>
      <c r="K1848" s="1" t="str">
        <f>"３０５　　　　　　　　　　　　　　　　　"</f>
        <v>３０５　　　　　　　　　　　　　　　　　</v>
      </c>
      <c r="L1848" s="1"/>
    </row>
    <row r="1849" spans="1:12" ht="18" customHeight="1" x14ac:dyDescent="0.15">
      <c r="A1849" s="11">
        <v>4750</v>
      </c>
      <c r="B1849" s="11" t="s">
        <v>444</v>
      </c>
      <c r="C1849" s="11" t="s">
        <v>445</v>
      </c>
      <c r="D1849" s="11">
        <v>1</v>
      </c>
      <c r="E1849" s="11" t="s">
        <v>21</v>
      </c>
      <c r="F1849" s="12">
        <v>74160</v>
      </c>
      <c r="G1849" s="12">
        <v>74160</v>
      </c>
      <c r="H1849" s="11" t="str">
        <f t="shared" si="62"/>
        <v>平成4年12月5日</v>
      </c>
      <c r="I1849" s="22">
        <f t="shared" si="61"/>
        <v>33943</v>
      </c>
      <c r="J1849" s="1" t="str">
        <f>"00746473"</f>
        <v>00746473</v>
      </c>
      <c r="K1849" s="1" t="str">
        <f>"３０６　　　　　　　　　　　　　　　　　"</f>
        <v>３０６　　　　　　　　　　　　　　　　　</v>
      </c>
      <c r="L1849" s="1"/>
    </row>
    <row r="1850" spans="1:12" ht="18" customHeight="1" x14ac:dyDescent="0.15">
      <c r="A1850" s="11">
        <v>4802</v>
      </c>
      <c r="B1850" s="11" t="s">
        <v>463</v>
      </c>
      <c r="C1850" s="11" t="s">
        <v>464</v>
      </c>
      <c r="D1850" s="11">
        <v>1</v>
      </c>
      <c r="E1850" s="11" t="s">
        <v>4</v>
      </c>
      <c r="F1850" s="12">
        <v>175100</v>
      </c>
      <c r="G1850" s="12">
        <v>175100</v>
      </c>
      <c r="H1850" s="11" t="str">
        <f t="shared" si="62"/>
        <v>平成4年12月5日</v>
      </c>
      <c r="I1850" s="22">
        <f t="shared" si="61"/>
        <v>33943</v>
      </c>
      <c r="J1850" s="1" t="str">
        <f>"00746597"</f>
        <v>00746597</v>
      </c>
      <c r="K1850" s="1" t="str">
        <f>"３０１　　　　　　　　　　　　　　　　　"</f>
        <v>３０１　　　　　　　　　　　　　　　　　</v>
      </c>
      <c r="L1850" s="1"/>
    </row>
    <row r="1851" spans="1:12" ht="18" customHeight="1" x14ac:dyDescent="0.15">
      <c r="A1851" s="11">
        <v>4803</v>
      </c>
      <c r="B1851" s="11" t="s">
        <v>463</v>
      </c>
      <c r="C1851" s="11" t="s">
        <v>464</v>
      </c>
      <c r="D1851" s="11">
        <v>1</v>
      </c>
      <c r="E1851" s="11" t="s">
        <v>4</v>
      </c>
      <c r="F1851" s="12">
        <v>175100</v>
      </c>
      <c r="G1851" s="12">
        <v>175100</v>
      </c>
      <c r="H1851" s="11" t="str">
        <f t="shared" si="62"/>
        <v>平成4年12月5日</v>
      </c>
      <c r="I1851" s="22">
        <f t="shared" si="61"/>
        <v>33943</v>
      </c>
      <c r="J1851" s="1" t="str">
        <f>"00746599"</f>
        <v>00746599</v>
      </c>
      <c r="K1851" s="1" t="str">
        <f>"３０２　　　　　　　　　　　　　　　　　"</f>
        <v>３０２　　　　　　　　　　　　　　　　　</v>
      </c>
      <c r="L1851" s="1"/>
    </row>
    <row r="1852" spans="1:12" ht="18" customHeight="1" x14ac:dyDescent="0.15">
      <c r="A1852" s="11">
        <v>4804</v>
      </c>
      <c r="B1852" s="11" t="s">
        <v>463</v>
      </c>
      <c r="C1852" s="11" t="s">
        <v>464</v>
      </c>
      <c r="D1852" s="11">
        <v>1</v>
      </c>
      <c r="E1852" s="11" t="s">
        <v>4</v>
      </c>
      <c r="F1852" s="12">
        <v>175100</v>
      </c>
      <c r="G1852" s="12">
        <v>175100</v>
      </c>
      <c r="H1852" s="11" t="str">
        <f t="shared" si="62"/>
        <v>平成4年12月5日</v>
      </c>
      <c r="I1852" s="22">
        <f t="shared" si="61"/>
        <v>33943</v>
      </c>
      <c r="J1852" s="1" t="str">
        <f>"00746601"</f>
        <v>00746601</v>
      </c>
      <c r="K1852" s="1" t="str">
        <f>"３０３　　　　　　　　　　　　　　　　　"</f>
        <v>３０３　　　　　　　　　　　　　　　　　</v>
      </c>
      <c r="L1852" s="1"/>
    </row>
    <row r="1853" spans="1:12" ht="18" customHeight="1" x14ac:dyDescent="0.15">
      <c r="A1853" s="11">
        <v>4805</v>
      </c>
      <c r="B1853" s="11" t="s">
        <v>463</v>
      </c>
      <c r="C1853" s="11" t="s">
        <v>464</v>
      </c>
      <c r="D1853" s="11">
        <v>1</v>
      </c>
      <c r="E1853" s="11" t="s">
        <v>4</v>
      </c>
      <c r="F1853" s="12">
        <v>175100</v>
      </c>
      <c r="G1853" s="12">
        <v>175100</v>
      </c>
      <c r="H1853" s="11" t="str">
        <f t="shared" si="62"/>
        <v>平成4年12月5日</v>
      </c>
      <c r="I1853" s="22">
        <f t="shared" si="61"/>
        <v>33943</v>
      </c>
      <c r="J1853" s="1" t="str">
        <f>"00746603"</f>
        <v>00746603</v>
      </c>
      <c r="K1853" s="1" t="str">
        <f>"３０４　　　　　　　　　　　　　　　　　"</f>
        <v>３０４　　　　　　　　　　　　　　　　　</v>
      </c>
      <c r="L1853" s="1"/>
    </row>
    <row r="1854" spans="1:12" ht="18" customHeight="1" x14ac:dyDescent="0.15">
      <c r="A1854" s="11">
        <v>4806</v>
      </c>
      <c r="B1854" s="11" t="s">
        <v>463</v>
      </c>
      <c r="C1854" s="11" t="s">
        <v>464</v>
      </c>
      <c r="D1854" s="11">
        <v>1</v>
      </c>
      <c r="E1854" s="11" t="s">
        <v>4</v>
      </c>
      <c r="F1854" s="12">
        <v>35100</v>
      </c>
      <c r="G1854" s="12">
        <v>35100</v>
      </c>
      <c r="H1854" s="11" t="str">
        <f t="shared" si="62"/>
        <v>平成4年12月5日</v>
      </c>
      <c r="I1854" s="22">
        <f t="shared" si="61"/>
        <v>33943</v>
      </c>
      <c r="J1854" s="1" t="str">
        <f>"00746609"</f>
        <v>00746609</v>
      </c>
      <c r="K1854" s="1" t="str">
        <f>"３１０　　　　　　　　　　　　　　　　　"</f>
        <v>３１０　　　　　　　　　　　　　　　　　</v>
      </c>
      <c r="L1854" s="1"/>
    </row>
    <row r="1855" spans="1:12" ht="18" customHeight="1" x14ac:dyDescent="0.15">
      <c r="A1855" s="11">
        <v>4807</v>
      </c>
      <c r="B1855" s="11" t="s">
        <v>463</v>
      </c>
      <c r="C1855" s="11" t="s">
        <v>464</v>
      </c>
      <c r="D1855" s="11">
        <v>1</v>
      </c>
      <c r="E1855" s="11" t="s">
        <v>4</v>
      </c>
      <c r="F1855" s="12">
        <v>35100</v>
      </c>
      <c r="G1855" s="12">
        <v>35100</v>
      </c>
      <c r="H1855" s="11" t="str">
        <f t="shared" si="62"/>
        <v>平成4年12月5日</v>
      </c>
      <c r="I1855" s="22">
        <f t="shared" si="61"/>
        <v>33943</v>
      </c>
      <c r="J1855" s="1" t="str">
        <f>"00746611"</f>
        <v>00746611</v>
      </c>
      <c r="K1855" s="1" t="str">
        <f>"３１２　　　　　　　　　　　　　　　　　"</f>
        <v>３１２　　　　　　　　　　　　　　　　　</v>
      </c>
      <c r="L1855" s="1"/>
    </row>
    <row r="1856" spans="1:12" ht="18" customHeight="1" x14ac:dyDescent="0.15">
      <c r="A1856" s="11">
        <v>4808</v>
      </c>
      <c r="B1856" s="11" t="s">
        <v>463</v>
      </c>
      <c r="C1856" s="11" t="s">
        <v>464</v>
      </c>
      <c r="D1856" s="11">
        <v>1</v>
      </c>
      <c r="E1856" s="11" t="s">
        <v>4</v>
      </c>
      <c r="F1856" s="12">
        <v>35100</v>
      </c>
      <c r="G1856" s="12">
        <v>35100</v>
      </c>
      <c r="H1856" s="11" t="str">
        <f t="shared" si="62"/>
        <v>平成4年12月5日</v>
      </c>
      <c r="I1856" s="22">
        <f t="shared" si="61"/>
        <v>33943</v>
      </c>
      <c r="J1856" s="1" t="str">
        <f>"00746617"</f>
        <v>00746617</v>
      </c>
      <c r="K1856" s="1" t="str">
        <f>"３１５　　　　　　　　　　　　　　　　　"</f>
        <v>３１５　　　　　　　　　　　　　　　　　</v>
      </c>
      <c r="L1856" s="1"/>
    </row>
    <row r="1857" spans="1:12" ht="18" customHeight="1" x14ac:dyDescent="0.15">
      <c r="A1857" s="11">
        <v>4809</v>
      </c>
      <c r="B1857" s="11" t="s">
        <v>463</v>
      </c>
      <c r="C1857" s="11" t="s">
        <v>465</v>
      </c>
      <c r="D1857" s="11">
        <v>1</v>
      </c>
      <c r="E1857" s="11" t="s">
        <v>4</v>
      </c>
      <c r="F1857" s="12">
        <v>34700</v>
      </c>
      <c r="G1857" s="12">
        <v>34700</v>
      </c>
      <c r="H1857" s="11" t="str">
        <f t="shared" si="62"/>
        <v>平成4年12月5日</v>
      </c>
      <c r="I1857" s="22">
        <f t="shared" si="61"/>
        <v>33943</v>
      </c>
      <c r="J1857" s="1" t="str">
        <f>"00746621"</f>
        <v>00746621</v>
      </c>
      <c r="K1857" s="1" t="str">
        <f>"３１７　　　　　　　　　　　　　　　　　"</f>
        <v>３１７　　　　　　　　　　　　　　　　　</v>
      </c>
      <c r="L1857" s="1"/>
    </row>
    <row r="1858" spans="1:12" ht="18" customHeight="1" x14ac:dyDescent="0.15">
      <c r="A1858" s="11">
        <v>4810</v>
      </c>
      <c r="B1858" s="11" t="s">
        <v>463</v>
      </c>
      <c r="C1858" s="11" t="s">
        <v>465</v>
      </c>
      <c r="D1858" s="11">
        <v>1</v>
      </c>
      <c r="E1858" s="11" t="s">
        <v>4</v>
      </c>
      <c r="F1858" s="12">
        <v>34700</v>
      </c>
      <c r="G1858" s="12">
        <v>34700</v>
      </c>
      <c r="H1858" s="11" t="str">
        <f t="shared" si="62"/>
        <v>平成4年12月5日</v>
      </c>
      <c r="I1858" s="22">
        <f t="shared" si="61"/>
        <v>33943</v>
      </c>
      <c r="J1858" s="1" t="str">
        <f>"00746623"</f>
        <v>00746623</v>
      </c>
      <c r="K1858" s="1" t="str">
        <f>"３１８　　　　　　　　　　　　　　　　　"</f>
        <v>３１８　　　　　　　　　　　　　　　　　</v>
      </c>
      <c r="L1858" s="1"/>
    </row>
    <row r="1859" spans="1:12" ht="18" customHeight="1" x14ac:dyDescent="0.15">
      <c r="A1859" s="11">
        <v>4811</v>
      </c>
      <c r="B1859" s="11" t="s">
        <v>463</v>
      </c>
      <c r="C1859" s="11" t="s">
        <v>465</v>
      </c>
      <c r="D1859" s="11">
        <v>1</v>
      </c>
      <c r="E1859" s="11" t="s">
        <v>4</v>
      </c>
      <c r="F1859" s="12">
        <v>34700</v>
      </c>
      <c r="G1859" s="12">
        <v>34700</v>
      </c>
      <c r="H1859" s="11" t="str">
        <f t="shared" si="62"/>
        <v>平成4年12月5日</v>
      </c>
      <c r="I1859" s="22">
        <f t="shared" si="61"/>
        <v>33943</v>
      </c>
      <c r="J1859" s="1" t="str">
        <f>"00746625"</f>
        <v>00746625</v>
      </c>
      <c r="K1859" s="1" t="str">
        <f>"３１９　　　　　　　　　　　　　　　　　"</f>
        <v>３１９　　　　　　　　　　　　　　　　　</v>
      </c>
      <c r="L1859" s="1"/>
    </row>
    <row r="1860" spans="1:12" ht="18" customHeight="1" x14ac:dyDescent="0.15">
      <c r="A1860" s="11">
        <v>4812</v>
      </c>
      <c r="B1860" s="11" t="s">
        <v>463</v>
      </c>
      <c r="C1860" s="11" t="s">
        <v>465</v>
      </c>
      <c r="D1860" s="11">
        <v>1</v>
      </c>
      <c r="E1860" s="11" t="s">
        <v>4</v>
      </c>
      <c r="F1860" s="12">
        <v>34700</v>
      </c>
      <c r="G1860" s="12">
        <v>34700</v>
      </c>
      <c r="H1860" s="11" t="str">
        <f t="shared" si="62"/>
        <v>平成4年12月5日</v>
      </c>
      <c r="I1860" s="22">
        <f t="shared" si="61"/>
        <v>33943</v>
      </c>
      <c r="J1860" s="1" t="str">
        <f>"00746627"</f>
        <v>00746627</v>
      </c>
      <c r="K1860" s="1" t="str">
        <f>"３２０　　　　　　　　　　　　　　　　　"</f>
        <v>３２０　　　　　　　　　　　　　　　　　</v>
      </c>
      <c r="L1860" s="1"/>
    </row>
    <row r="1861" spans="1:12" ht="18" customHeight="1" x14ac:dyDescent="0.15">
      <c r="A1861" s="11">
        <v>4813</v>
      </c>
      <c r="B1861" s="11" t="s">
        <v>463</v>
      </c>
      <c r="C1861" s="11" t="s">
        <v>465</v>
      </c>
      <c r="D1861" s="11">
        <v>1</v>
      </c>
      <c r="E1861" s="11" t="s">
        <v>4</v>
      </c>
      <c r="F1861" s="12">
        <v>34700</v>
      </c>
      <c r="G1861" s="12">
        <v>34700</v>
      </c>
      <c r="H1861" s="11" t="str">
        <f t="shared" si="62"/>
        <v>平成4年12月5日</v>
      </c>
      <c r="I1861" s="22">
        <f t="shared" si="61"/>
        <v>33943</v>
      </c>
      <c r="J1861" s="1" t="str">
        <f>"00746629"</f>
        <v>00746629</v>
      </c>
      <c r="K1861" s="1" t="str">
        <f>"３２１　　　　　　　　　　　　　　　　　"</f>
        <v>３２１　　　　　　　　　　　　　　　　　</v>
      </c>
      <c r="L1861" s="1"/>
    </row>
    <row r="1862" spans="1:12" ht="18" customHeight="1" x14ac:dyDescent="0.15">
      <c r="A1862" s="11">
        <v>4814</v>
      </c>
      <c r="B1862" s="11" t="s">
        <v>463</v>
      </c>
      <c r="C1862" s="11" t="s">
        <v>466</v>
      </c>
      <c r="D1862" s="11">
        <v>1</v>
      </c>
      <c r="E1862" s="11" t="s">
        <v>4</v>
      </c>
      <c r="F1862" s="12">
        <v>35020</v>
      </c>
      <c r="G1862" s="12">
        <v>35020</v>
      </c>
      <c r="H1862" s="11" t="str">
        <f t="shared" si="62"/>
        <v>平成4年12月5日</v>
      </c>
      <c r="I1862" s="22">
        <f t="shared" si="61"/>
        <v>33943</v>
      </c>
      <c r="J1862" s="1" t="str">
        <f>"00746641"</f>
        <v>00746641</v>
      </c>
      <c r="K1862" s="1" t="str">
        <f>"３８１　　　　　　　　　　　　　　　　　"</f>
        <v>３８１　　　　　　　　　　　　　　　　　</v>
      </c>
      <c r="L1862" s="1"/>
    </row>
    <row r="1863" spans="1:12" ht="18" customHeight="1" x14ac:dyDescent="0.15">
      <c r="A1863" s="11">
        <v>4815</v>
      </c>
      <c r="B1863" s="11" t="s">
        <v>463</v>
      </c>
      <c r="C1863" s="11" t="s">
        <v>466</v>
      </c>
      <c r="D1863" s="11">
        <v>1</v>
      </c>
      <c r="E1863" s="11" t="s">
        <v>4</v>
      </c>
      <c r="F1863" s="12">
        <v>35020</v>
      </c>
      <c r="G1863" s="12">
        <v>35020</v>
      </c>
      <c r="H1863" s="11" t="str">
        <f t="shared" si="62"/>
        <v>平成4年12月5日</v>
      </c>
      <c r="I1863" s="22">
        <f t="shared" si="61"/>
        <v>33943</v>
      </c>
      <c r="J1863" s="1" t="str">
        <f>"00746655"</f>
        <v>00746655</v>
      </c>
      <c r="K1863" s="1" t="str">
        <f>"３９２　　　　　　　　　　　　　　　　　"</f>
        <v>３９２　　　　　　　　　　　　　　　　　</v>
      </c>
      <c r="L1863" s="1"/>
    </row>
    <row r="1864" spans="1:12" ht="18" customHeight="1" x14ac:dyDescent="0.15">
      <c r="A1864" s="11">
        <v>4816</v>
      </c>
      <c r="B1864" s="11" t="s">
        <v>467</v>
      </c>
      <c r="C1864" s="11" t="s">
        <v>468</v>
      </c>
      <c r="D1864" s="11">
        <v>1</v>
      </c>
      <c r="E1864" s="11" t="s">
        <v>21</v>
      </c>
      <c r="F1864" s="12">
        <v>137402</v>
      </c>
      <c r="G1864" s="12">
        <v>137402</v>
      </c>
      <c r="H1864" s="11" t="str">
        <f t="shared" si="62"/>
        <v>平成4年12月5日</v>
      </c>
      <c r="I1864" s="22">
        <f t="shared" si="61"/>
        <v>33943</v>
      </c>
      <c r="J1864" s="1" t="str">
        <f>"00746657"</f>
        <v>00746657</v>
      </c>
      <c r="K1864" s="1" t="str">
        <f>"３０１　　　　　　　　　　　　　　　　　"</f>
        <v>３０１　　　　　　　　　　　　　　　　　</v>
      </c>
      <c r="L1864" s="1"/>
    </row>
    <row r="1865" spans="1:12" ht="18" customHeight="1" x14ac:dyDescent="0.15">
      <c r="A1865" s="11">
        <v>4817</v>
      </c>
      <c r="B1865" s="11" t="s">
        <v>469</v>
      </c>
      <c r="C1865" s="11" t="s">
        <v>470</v>
      </c>
      <c r="D1865" s="11">
        <v>1</v>
      </c>
      <c r="E1865" s="11" t="s">
        <v>4</v>
      </c>
      <c r="F1865" s="12">
        <v>28428</v>
      </c>
      <c r="G1865" s="12">
        <v>28428</v>
      </c>
      <c r="H1865" s="11" t="str">
        <f t="shared" si="62"/>
        <v>平成4年12月5日</v>
      </c>
      <c r="I1865" s="22">
        <f t="shared" si="61"/>
        <v>33943</v>
      </c>
      <c r="J1865" s="1" t="str">
        <f>"00746663"</f>
        <v>00746663</v>
      </c>
      <c r="K1865" s="1" t="str">
        <f>"３０３　　　　　　　　　　　　　　　　　"</f>
        <v>３０３　　　　　　　　　　　　　　　　　</v>
      </c>
      <c r="L1865" s="1"/>
    </row>
    <row r="1866" spans="1:12" ht="18" customHeight="1" x14ac:dyDescent="0.15">
      <c r="A1866" s="11">
        <v>4865</v>
      </c>
      <c r="B1866" s="11" t="s">
        <v>483</v>
      </c>
      <c r="C1866" s="11" t="s">
        <v>484</v>
      </c>
      <c r="D1866" s="11">
        <v>1</v>
      </c>
      <c r="E1866" s="11" t="s">
        <v>4</v>
      </c>
      <c r="F1866" s="12">
        <v>66000</v>
      </c>
      <c r="G1866" s="12">
        <v>66000</v>
      </c>
      <c r="H1866" s="11" t="str">
        <f t="shared" si="62"/>
        <v>平成4年12月5日</v>
      </c>
      <c r="I1866" s="22">
        <f t="shared" si="61"/>
        <v>33943</v>
      </c>
      <c r="J1866" s="1" t="str">
        <f>"00746891"</f>
        <v>00746891</v>
      </c>
      <c r="K1866" s="1" t="str">
        <f>"３０１　　　　　　　　　　　　　　　　　"</f>
        <v>３０１　　　　　　　　　　　　　　　　　</v>
      </c>
      <c r="L1866" s="1"/>
    </row>
    <row r="1867" spans="1:12" ht="18" customHeight="1" x14ac:dyDescent="0.15">
      <c r="A1867" s="11">
        <v>4866</v>
      </c>
      <c r="B1867" s="11" t="s">
        <v>483</v>
      </c>
      <c r="C1867" s="11" t="s">
        <v>484</v>
      </c>
      <c r="D1867" s="11">
        <v>1</v>
      </c>
      <c r="E1867" s="11" t="s">
        <v>4</v>
      </c>
      <c r="F1867" s="12">
        <v>66000</v>
      </c>
      <c r="G1867" s="12">
        <v>66000</v>
      </c>
      <c r="H1867" s="11" t="str">
        <f t="shared" si="62"/>
        <v>平成4年12月5日</v>
      </c>
      <c r="I1867" s="22">
        <f t="shared" si="61"/>
        <v>33943</v>
      </c>
      <c r="J1867" s="1" t="str">
        <f>"00746893"</f>
        <v>00746893</v>
      </c>
      <c r="K1867" s="1" t="str">
        <f>"３０２　　　　　　　　　　　　　　　　　"</f>
        <v>３０２　　　　　　　　　　　　　　　　　</v>
      </c>
      <c r="L1867" s="1"/>
    </row>
    <row r="1868" spans="1:12" ht="18" customHeight="1" x14ac:dyDescent="0.15">
      <c r="A1868" s="11">
        <v>4867</v>
      </c>
      <c r="B1868" s="11" t="s">
        <v>485</v>
      </c>
      <c r="C1868" s="11" t="s">
        <v>486</v>
      </c>
      <c r="D1868" s="11">
        <v>1</v>
      </c>
      <c r="E1868" s="11" t="s">
        <v>4</v>
      </c>
      <c r="F1868" s="12">
        <v>78300</v>
      </c>
      <c r="G1868" s="12">
        <v>78300</v>
      </c>
      <c r="H1868" s="11" t="str">
        <f t="shared" si="62"/>
        <v>平成4年12月5日</v>
      </c>
      <c r="I1868" s="22">
        <f t="shared" si="61"/>
        <v>33943</v>
      </c>
      <c r="J1868" s="1" t="str">
        <f>"00746895"</f>
        <v>00746895</v>
      </c>
      <c r="K1868" s="1" t="str">
        <f>"３０１　　　　　　　　　　　　　　　　　"</f>
        <v>３０１　　　　　　　　　　　　　　　　　</v>
      </c>
      <c r="L1868" s="1"/>
    </row>
    <row r="1869" spans="1:12" ht="18" customHeight="1" x14ac:dyDescent="0.15">
      <c r="A1869" s="11">
        <v>4868</v>
      </c>
      <c r="B1869" s="11" t="s">
        <v>24</v>
      </c>
      <c r="C1869" s="11" t="s">
        <v>25</v>
      </c>
      <c r="D1869" s="11">
        <v>1</v>
      </c>
      <c r="E1869" s="11" t="s">
        <v>4</v>
      </c>
      <c r="F1869" s="12">
        <v>346100</v>
      </c>
      <c r="G1869" s="12">
        <v>346100</v>
      </c>
      <c r="H1869" s="11" t="str">
        <f t="shared" si="62"/>
        <v>平成4年12月5日</v>
      </c>
      <c r="I1869" s="22">
        <f t="shared" si="61"/>
        <v>33943</v>
      </c>
      <c r="J1869" s="1" t="str">
        <f>"00746897"</f>
        <v>00746897</v>
      </c>
      <c r="K1869" s="1" t="str">
        <f>"３０１　　　　　　　　　　　　　　　　　"</f>
        <v>３０１　　　　　　　　　　　　　　　　　</v>
      </c>
      <c r="L1869" s="1"/>
    </row>
    <row r="1870" spans="1:12" ht="18" customHeight="1" x14ac:dyDescent="0.15">
      <c r="A1870" s="11">
        <v>4869</v>
      </c>
      <c r="B1870" s="11" t="s">
        <v>24</v>
      </c>
      <c r="C1870" s="11" t="s">
        <v>25</v>
      </c>
      <c r="D1870" s="11">
        <v>1</v>
      </c>
      <c r="E1870" s="11" t="s">
        <v>4</v>
      </c>
      <c r="F1870" s="12">
        <v>519200</v>
      </c>
      <c r="G1870" s="12">
        <v>519200</v>
      </c>
      <c r="H1870" s="11" t="str">
        <f t="shared" si="62"/>
        <v>平成4年12月5日</v>
      </c>
      <c r="I1870" s="22">
        <f t="shared" si="61"/>
        <v>33943</v>
      </c>
      <c r="J1870" s="1" t="str">
        <f>"00746899"</f>
        <v>00746899</v>
      </c>
      <c r="K1870" s="1" t="str">
        <f>"３０４　　　　　　　　　　　　　　　　　"</f>
        <v>３０４　　　　　　　　　　　　　　　　　</v>
      </c>
      <c r="L1870" s="1"/>
    </row>
    <row r="1871" spans="1:12" ht="18" customHeight="1" x14ac:dyDescent="0.15">
      <c r="A1871" s="11">
        <v>4870</v>
      </c>
      <c r="B1871" s="11" t="s">
        <v>24</v>
      </c>
      <c r="C1871" s="11" t="s">
        <v>487</v>
      </c>
      <c r="D1871" s="11">
        <v>1</v>
      </c>
      <c r="E1871" s="11" t="s">
        <v>4</v>
      </c>
      <c r="F1871" s="12">
        <v>230800</v>
      </c>
      <c r="G1871" s="12">
        <v>230800</v>
      </c>
      <c r="H1871" s="11" t="str">
        <f t="shared" si="62"/>
        <v>平成4年12月5日</v>
      </c>
      <c r="I1871" s="22">
        <f t="shared" si="61"/>
        <v>33943</v>
      </c>
      <c r="J1871" s="1" t="str">
        <f>"00746901"</f>
        <v>00746901</v>
      </c>
      <c r="K1871" s="1" t="str">
        <f>"３０５　　　　　　　　　　　　　　　　　"</f>
        <v>３０５　　　　　　　　　　　　　　　　　</v>
      </c>
      <c r="L1871" s="1"/>
    </row>
    <row r="1872" spans="1:12" ht="18" customHeight="1" x14ac:dyDescent="0.15">
      <c r="A1872" s="11">
        <v>4873</v>
      </c>
      <c r="B1872" s="11" t="s">
        <v>490</v>
      </c>
      <c r="C1872" s="11" t="s">
        <v>491</v>
      </c>
      <c r="D1872" s="11">
        <v>1</v>
      </c>
      <c r="E1872" s="11" t="s">
        <v>4</v>
      </c>
      <c r="F1872" s="12">
        <v>23648</v>
      </c>
      <c r="G1872" s="12">
        <v>23648</v>
      </c>
      <c r="H1872" s="11" t="str">
        <f t="shared" si="62"/>
        <v>平成4年12月5日</v>
      </c>
      <c r="I1872" s="22">
        <f t="shared" si="61"/>
        <v>33943</v>
      </c>
      <c r="J1872" s="1" t="str">
        <f>"00746907"</f>
        <v>00746907</v>
      </c>
      <c r="K1872" s="1" t="str">
        <f>"３０１　　　　　　　　　　　　　　　　　"</f>
        <v>３０１　　　　　　　　　　　　　　　　　</v>
      </c>
      <c r="L1872" s="1"/>
    </row>
    <row r="1873" spans="1:12" ht="18" customHeight="1" x14ac:dyDescent="0.15">
      <c r="A1873" s="11">
        <v>4880</v>
      </c>
      <c r="B1873" s="11" t="s">
        <v>356</v>
      </c>
      <c r="C1873" s="11" t="s">
        <v>497</v>
      </c>
      <c r="D1873" s="11">
        <v>1</v>
      </c>
      <c r="E1873" s="11" t="s">
        <v>4</v>
      </c>
      <c r="F1873" s="12">
        <v>38625</v>
      </c>
      <c r="G1873" s="12">
        <v>38625</v>
      </c>
      <c r="H1873" s="11" t="str">
        <f t="shared" si="62"/>
        <v>平成4年12月5日</v>
      </c>
      <c r="I1873" s="22">
        <f t="shared" si="61"/>
        <v>33943</v>
      </c>
      <c r="J1873" s="1" t="str">
        <f>"00746923"</f>
        <v>00746923</v>
      </c>
      <c r="K1873" s="1" t="str">
        <f>"３０１　　　　　　　　　　　　　　　　　"</f>
        <v>３０１　　　　　　　　　　　　　　　　　</v>
      </c>
      <c r="L1873" s="1"/>
    </row>
    <row r="1874" spans="1:12" ht="18" customHeight="1" x14ac:dyDescent="0.15">
      <c r="A1874" s="11">
        <v>4881</v>
      </c>
      <c r="B1874" s="11" t="s">
        <v>356</v>
      </c>
      <c r="C1874" s="11" t="s">
        <v>497</v>
      </c>
      <c r="D1874" s="11">
        <v>1</v>
      </c>
      <c r="E1874" s="11" t="s">
        <v>4</v>
      </c>
      <c r="F1874" s="12">
        <v>38625</v>
      </c>
      <c r="G1874" s="12">
        <v>38625</v>
      </c>
      <c r="H1874" s="11" t="str">
        <f t="shared" si="62"/>
        <v>平成4年12月5日</v>
      </c>
      <c r="I1874" s="22">
        <f t="shared" ref="I1874:I1937" si="63">DATEVALUE(H1874)</f>
        <v>33943</v>
      </c>
      <c r="J1874" s="1" t="str">
        <f>"00746925"</f>
        <v>00746925</v>
      </c>
      <c r="K1874" s="1" t="str">
        <f>"３０２　　　　　　　　　　　　　　　　　"</f>
        <v>３０２　　　　　　　　　　　　　　　　　</v>
      </c>
      <c r="L1874" s="1"/>
    </row>
    <row r="1875" spans="1:12" ht="18" customHeight="1" x14ac:dyDescent="0.15">
      <c r="A1875" s="11">
        <v>4882</v>
      </c>
      <c r="B1875" s="11" t="s">
        <v>356</v>
      </c>
      <c r="C1875" s="11" t="s">
        <v>497</v>
      </c>
      <c r="D1875" s="11">
        <v>1</v>
      </c>
      <c r="E1875" s="11" t="s">
        <v>4</v>
      </c>
      <c r="F1875" s="12">
        <v>38625</v>
      </c>
      <c r="G1875" s="12">
        <v>38625</v>
      </c>
      <c r="H1875" s="11" t="str">
        <f t="shared" si="62"/>
        <v>平成4年12月5日</v>
      </c>
      <c r="I1875" s="22">
        <f t="shared" si="63"/>
        <v>33943</v>
      </c>
      <c r="J1875" s="1" t="str">
        <f>"00746927"</f>
        <v>00746927</v>
      </c>
      <c r="K1875" s="1" t="str">
        <f>"３０３　　　　　　　　　　　　　　　　　"</f>
        <v>３０３　　　　　　　　　　　　　　　　　</v>
      </c>
      <c r="L1875" s="1"/>
    </row>
    <row r="1876" spans="1:12" ht="18" customHeight="1" x14ac:dyDescent="0.15">
      <c r="A1876" s="11">
        <v>4883</v>
      </c>
      <c r="B1876" s="11" t="s">
        <v>356</v>
      </c>
      <c r="C1876" s="11" t="s">
        <v>497</v>
      </c>
      <c r="D1876" s="11">
        <v>1</v>
      </c>
      <c r="E1876" s="11" t="s">
        <v>4</v>
      </c>
      <c r="F1876" s="12">
        <v>38625</v>
      </c>
      <c r="G1876" s="12">
        <v>38625</v>
      </c>
      <c r="H1876" s="11" t="str">
        <f t="shared" si="62"/>
        <v>平成4年12月5日</v>
      </c>
      <c r="I1876" s="22">
        <f t="shared" si="63"/>
        <v>33943</v>
      </c>
      <c r="J1876" s="1" t="str">
        <f>"00746929"</f>
        <v>00746929</v>
      </c>
      <c r="K1876" s="1" t="str">
        <f>"３０４　　　　　　　　　　　　　　　　　"</f>
        <v>３０４　　　　　　　　　　　　　　　　　</v>
      </c>
      <c r="L1876" s="1"/>
    </row>
    <row r="1877" spans="1:12" ht="18" customHeight="1" x14ac:dyDescent="0.15">
      <c r="A1877" s="11">
        <v>4884</v>
      </c>
      <c r="B1877" s="11" t="s">
        <v>356</v>
      </c>
      <c r="C1877" s="11" t="s">
        <v>497</v>
      </c>
      <c r="D1877" s="11">
        <v>1</v>
      </c>
      <c r="E1877" s="11" t="s">
        <v>4</v>
      </c>
      <c r="F1877" s="12">
        <v>38625</v>
      </c>
      <c r="G1877" s="12">
        <v>38625</v>
      </c>
      <c r="H1877" s="11" t="str">
        <f t="shared" si="62"/>
        <v>平成4年12月5日</v>
      </c>
      <c r="I1877" s="22">
        <f t="shared" si="63"/>
        <v>33943</v>
      </c>
      <c r="J1877" s="1" t="str">
        <f>"00746931"</f>
        <v>00746931</v>
      </c>
      <c r="K1877" s="1" t="str">
        <f>"３０５　　　　　　　　　　　　　　　　　"</f>
        <v>３０５　　　　　　　　　　　　　　　　　</v>
      </c>
      <c r="L1877" s="1"/>
    </row>
    <row r="1878" spans="1:12" ht="18" customHeight="1" x14ac:dyDescent="0.15">
      <c r="A1878" s="11">
        <v>4885</v>
      </c>
      <c r="B1878" s="11" t="s">
        <v>356</v>
      </c>
      <c r="C1878" s="11" t="s">
        <v>497</v>
      </c>
      <c r="D1878" s="11">
        <v>1</v>
      </c>
      <c r="E1878" s="11" t="s">
        <v>4</v>
      </c>
      <c r="F1878" s="12">
        <v>38625</v>
      </c>
      <c r="G1878" s="12">
        <v>38625</v>
      </c>
      <c r="H1878" s="11" t="str">
        <f t="shared" si="62"/>
        <v>平成4年12月5日</v>
      </c>
      <c r="I1878" s="22">
        <f t="shared" si="63"/>
        <v>33943</v>
      </c>
      <c r="J1878" s="1" t="str">
        <f>"00746933"</f>
        <v>00746933</v>
      </c>
      <c r="K1878" s="1" t="str">
        <f>"３０６　　　　　　　　　　　　　　　　　"</f>
        <v>３０６　　　　　　　　　　　　　　　　　</v>
      </c>
      <c r="L1878" s="1"/>
    </row>
    <row r="1879" spans="1:12" ht="18" customHeight="1" x14ac:dyDescent="0.15">
      <c r="A1879" s="11">
        <v>4886</v>
      </c>
      <c r="B1879" s="11" t="s">
        <v>356</v>
      </c>
      <c r="C1879" s="11" t="s">
        <v>497</v>
      </c>
      <c r="D1879" s="11">
        <v>1</v>
      </c>
      <c r="E1879" s="11" t="s">
        <v>4</v>
      </c>
      <c r="F1879" s="12">
        <v>38625</v>
      </c>
      <c r="G1879" s="12">
        <v>38625</v>
      </c>
      <c r="H1879" s="11" t="str">
        <f t="shared" si="62"/>
        <v>平成4年12月5日</v>
      </c>
      <c r="I1879" s="22">
        <f t="shared" si="63"/>
        <v>33943</v>
      </c>
      <c r="J1879" s="1" t="str">
        <f>"00746935"</f>
        <v>00746935</v>
      </c>
      <c r="K1879" s="1" t="str">
        <f>"３０７　　　　　　　　　　　　　　　　　"</f>
        <v>３０７　　　　　　　　　　　　　　　　　</v>
      </c>
      <c r="L1879" s="1"/>
    </row>
    <row r="1880" spans="1:12" ht="18" customHeight="1" x14ac:dyDescent="0.15">
      <c r="A1880" s="11">
        <v>4887</v>
      </c>
      <c r="B1880" s="11" t="s">
        <v>356</v>
      </c>
      <c r="C1880" s="11" t="s">
        <v>497</v>
      </c>
      <c r="D1880" s="11">
        <v>1</v>
      </c>
      <c r="E1880" s="11" t="s">
        <v>4</v>
      </c>
      <c r="F1880" s="12">
        <v>38625</v>
      </c>
      <c r="G1880" s="12">
        <v>38625</v>
      </c>
      <c r="H1880" s="11" t="str">
        <f t="shared" si="62"/>
        <v>平成4年12月5日</v>
      </c>
      <c r="I1880" s="22">
        <f t="shared" si="63"/>
        <v>33943</v>
      </c>
      <c r="J1880" s="1" t="str">
        <f>"00746937"</f>
        <v>00746937</v>
      </c>
      <c r="K1880" s="1" t="str">
        <f>"３０８　　　　　　　　　　　　　　　　　"</f>
        <v>３０８　　　　　　　　　　　　　　　　　</v>
      </c>
      <c r="L1880" s="1"/>
    </row>
    <row r="1881" spans="1:12" ht="18" customHeight="1" x14ac:dyDescent="0.15">
      <c r="A1881" s="11">
        <v>4888</v>
      </c>
      <c r="B1881" s="11" t="s">
        <v>356</v>
      </c>
      <c r="C1881" s="11" t="s">
        <v>497</v>
      </c>
      <c r="D1881" s="11">
        <v>1</v>
      </c>
      <c r="E1881" s="11" t="s">
        <v>4</v>
      </c>
      <c r="F1881" s="12">
        <v>38625</v>
      </c>
      <c r="G1881" s="12">
        <v>38625</v>
      </c>
      <c r="H1881" s="11" t="str">
        <f t="shared" si="62"/>
        <v>平成4年12月5日</v>
      </c>
      <c r="I1881" s="22">
        <f t="shared" si="63"/>
        <v>33943</v>
      </c>
      <c r="J1881" s="1" t="str">
        <f>"00746939"</f>
        <v>00746939</v>
      </c>
      <c r="K1881" s="1" t="str">
        <f>"３０９　　　　　　　　　　　　　　　　　"</f>
        <v>３０９　　　　　　　　　　　　　　　　　</v>
      </c>
      <c r="L1881" s="1"/>
    </row>
    <row r="1882" spans="1:12" ht="18" customHeight="1" x14ac:dyDescent="0.15">
      <c r="A1882" s="11">
        <v>4889</v>
      </c>
      <c r="B1882" s="11" t="s">
        <v>356</v>
      </c>
      <c r="C1882" s="11" t="s">
        <v>497</v>
      </c>
      <c r="D1882" s="11">
        <v>1</v>
      </c>
      <c r="E1882" s="11" t="s">
        <v>4</v>
      </c>
      <c r="F1882" s="12">
        <v>38625</v>
      </c>
      <c r="G1882" s="12">
        <v>38625</v>
      </c>
      <c r="H1882" s="11" t="str">
        <f t="shared" si="62"/>
        <v>平成4年12月5日</v>
      </c>
      <c r="I1882" s="22">
        <f t="shared" si="63"/>
        <v>33943</v>
      </c>
      <c r="J1882" s="1" t="str">
        <f>"00746941"</f>
        <v>00746941</v>
      </c>
      <c r="K1882" s="1" t="str">
        <f>"３１０　　　　　　　　　　　　　　　　　"</f>
        <v>３１０　　　　　　　　　　　　　　　　　</v>
      </c>
      <c r="L1882" s="1"/>
    </row>
    <row r="1883" spans="1:12" ht="18" customHeight="1" x14ac:dyDescent="0.15">
      <c r="A1883" s="11">
        <v>4899</v>
      </c>
      <c r="B1883" s="11" t="s">
        <v>500</v>
      </c>
      <c r="C1883" s="11" t="s">
        <v>501</v>
      </c>
      <c r="D1883" s="11">
        <v>1</v>
      </c>
      <c r="E1883" s="11" t="s">
        <v>4</v>
      </c>
      <c r="F1883" s="12">
        <v>237930</v>
      </c>
      <c r="G1883" s="12">
        <v>237930</v>
      </c>
      <c r="H1883" s="11" t="str">
        <f t="shared" si="62"/>
        <v>平成4年12月5日</v>
      </c>
      <c r="I1883" s="22">
        <f t="shared" si="63"/>
        <v>33943</v>
      </c>
      <c r="J1883" s="1" t="str">
        <f>"00746961"</f>
        <v>00746961</v>
      </c>
      <c r="K1883" s="1" t="str">
        <f>"３０１　　　　　　　　　　　　　　　　　"</f>
        <v>３０１　　　　　　　　　　　　　　　　　</v>
      </c>
      <c r="L1883" s="1"/>
    </row>
    <row r="1884" spans="1:12" ht="18" customHeight="1" x14ac:dyDescent="0.15">
      <c r="A1884" s="11">
        <v>4900</v>
      </c>
      <c r="B1884" s="11" t="s">
        <v>500</v>
      </c>
      <c r="C1884" s="11" t="s">
        <v>501</v>
      </c>
      <c r="D1884" s="11">
        <v>1</v>
      </c>
      <c r="E1884" s="11" t="s">
        <v>4</v>
      </c>
      <c r="F1884" s="12">
        <v>237930</v>
      </c>
      <c r="G1884" s="12">
        <v>237930</v>
      </c>
      <c r="H1884" s="11" t="str">
        <f t="shared" si="62"/>
        <v>平成4年12月5日</v>
      </c>
      <c r="I1884" s="22">
        <f t="shared" si="63"/>
        <v>33943</v>
      </c>
      <c r="J1884" s="1" t="str">
        <f>"00746963"</f>
        <v>00746963</v>
      </c>
      <c r="K1884" s="1" t="str">
        <f>"３０２　　　　　　　　　　　　　　　　　"</f>
        <v>３０２　　　　　　　　　　　　　　　　　</v>
      </c>
      <c r="L1884" s="1"/>
    </row>
    <row r="1885" spans="1:12" ht="18" customHeight="1" x14ac:dyDescent="0.15">
      <c r="A1885" s="11">
        <v>4901</v>
      </c>
      <c r="B1885" s="11" t="s">
        <v>500</v>
      </c>
      <c r="C1885" s="11" t="s">
        <v>501</v>
      </c>
      <c r="D1885" s="11">
        <v>1</v>
      </c>
      <c r="E1885" s="11" t="s">
        <v>4</v>
      </c>
      <c r="F1885" s="12">
        <v>237930</v>
      </c>
      <c r="G1885" s="12">
        <v>237930</v>
      </c>
      <c r="H1885" s="11" t="str">
        <f t="shared" si="62"/>
        <v>平成4年12月5日</v>
      </c>
      <c r="I1885" s="22">
        <f t="shared" si="63"/>
        <v>33943</v>
      </c>
      <c r="J1885" s="1" t="str">
        <f>"00746965"</f>
        <v>00746965</v>
      </c>
      <c r="K1885" s="1" t="str">
        <f>"３０３　　　　　　　　　　　　　　　　　"</f>
        <v>３０３　　　　　　　　　　　　　　　　　</v>
      </c>
      <c r="L1885" s="1"/>
    </row>
    <row r="1886" spans="1:12" ht="18" customHeight="1" x14ac:dyDescent="0.15">
      <c r="A1886" s="11">
        <v>4902</v>
      </c>
      <c r="B1886" s="11" t="s">
        <v>500</v>
      </c>
      <c r="C1886" s="11" t="s">
        <v>501</v>
      </c>
      <c r="D1886" s="11">
        <v>1</v>
      </c>
      <c r="E1886" s="11" t="s">
        <v>4</v>
      </c>
      <c r="F1886" s="12">
        <v>237930</v>
      </c>
      <c r="G1886" s="12">
        <v>237930</v>
      </c>
      <c r="H1886" s="11" t="str">
        <f t="shared" si="62"/>
        <v>平成4年12月5日</v>
      </c>
      <c r="I1886" s="22">
        <f t="shared" si="63"/>
        <v>33943</v>
      </c>
      <c r="J1886" s="1" t="str">
        <f>"00746967"</f>
        <v>00746967</v>
      </c>
      <c r="K1886" s="1" t="str">
        <f>"３０４　　　　　　　　　　　　　　　　　"</f>
        <v>３０４　　　　　　　　　　　　　　　　　</v>
      </c>
      <c r="L1886" s="1"/>
    </row>
    <row r="1887" spans="1:12" ht="18" customHeight="1" x14ac:dyDescent="0.15">
      <c r="A1887" s="11">
        <v>4903</v>
      </c>
      <c r="B1887" s="11" t="s">
        <v>500</v>
      </c>
      <c r="C1887" s="11" t="s">
        <v>501</v>
      </c>
      <c r="D1887" s="11">
        <v>1</v>
      </c>
      <c r="E1887" s="11" t="s">
        <v>4</v>
      </c>
      <c r="F1887" s="12">
        <v>237930</v>
      </c>
      <c r="G1887" s="12">
        <v>237930</v>
      </c>
      <c r="H1887" s="11" t="str">
        <f t="shared" si="62"/>
        <v>平成4年12月5日</v>
      </c>
      <c r="I1887" s="22">
        <f t="shared" si="63"/>
        <v>33943</v>
      </c>
      <c r="J1887" s="1" t="str">
        <f>"00746969"</f>
        <v>00746969</v>
      </c>
      <c r="K1887" s="1" t="str">
        <f>"３０５　　　　　　　　　　　　　　　　　"</f>
        <v>３０５　　　　　　　　　　　　　　　　　</v>
      </c>
      <c r="L1887" s="1"/>
    </row>
    <row r="1888" spans="1:12" ht="18" customHeight="1" x14ac:dyDescent="0.15">
      <c r="A1888" s="11">
        <v>4905</v>
      </c>
      <c r="B1888" s="11" t="s">
        <v>502</v>
      </c>
      <c r="C1888" s="11" t="s">
        <v>504</v>
      </c>
      <c r="D1888" s="11">
        <v>1</v>
      </c>
      <c r="E1888" s="11" t="s">
        <v>61</v>
      </c>
      <c r="F1888" s="12">
        <v>33000</v>
      </c>
      <c r="G1888" s="12">
        <v>33000</v>
      </c>
      <c r="H1888" s="11" t="str">
        <f t="shared" si="62"/>
        <v>平成4年12月5日</v>
      </c>
      <c r="I1888" s="22">
        <f t="shared" si="63"/>
        <v>33943</v>
      </c>
      <c r="J1888" s="1" t="str">
        <f>"00746979"</f>
        <v>00746979</v>
      </c>
      <c r="K1888" s="1" t="str">
        <f>"３０１　　　　　　　　　　　　　　　　　"</f>
        <v>３０１　　　　　　　　　　　　　　　　　</v>
      </c>
      <c r="L1888" s="1"/>
    </row>
    <row r="1889" spans="1:12" ht="18" customHeight="1" x14ac:dyDescent="0.15">
      <c r="A1889" s="11">
        <v>4906</v>
      </c>
      <c r="B1889" s="11" t="s">
        <v>502</v>
      </c>
      <c r="C1889" s="11" t="s">
        <v>504</v>
      </c>
      <c r="D1889" s="11">
        <v>1</v>
      </c>
      <c r="E1889" s="11" t="s">
        <v>61</v>
      </c>
      <c r="F1889" s="12">
        <v>33000</v>
      </c>
      <c r="G1889" s="12">
        <v>33000</v>
      </c>
      <c r="H1889" s="11" t="str">
        <f t="shared" si="62"/>
        <v>平成4年12月5日</v>
      </c>
      <c r="I1889" s="22">
        <f t="shared" si="63"/>
        <v>33943</v>
      </c>
      <c r="J1889" s="1" t="str">
        <f>"00746981"</f>
        <v>00746981</v>
      </c>
      <c r="K1889" s="1" t="str">
        <f>"３０２　　　　　　　　　　　　　　　　　"</f>
        <v>３０２　　　　　　　　　　　　　　　　　</v>
      </c>
      <c r="L1889" s="1"/>
    </row>
    <row r="1890" spans="1:12" ht="18" customHeight="1" x14ac:dyDescent="0.15">
      <c r="A1890" s="11">
        <v>4907</v>
      </c>
      <c r="B1890" s="11" t="s">
        <v>502</v>
      </c>
      <c r="C1890" s="11" t="s">
        <v>504</v>
      </c>
      <c r="D1890" s="11">
        <v>1</v>
      </c>
      <c r="E1890" s="11" t="s">
        <v>61</v>
      </c>
      <c r="F1890" s="12">
        <v>33000</v>
      </c>
      <c r="G1890" s="12">
        <v>33000</v>
      </c>
      <c r="H1890" s="11" t="str">
        <f t="shared" si="62"/>
        <v>平成4年12月5日</v>
      </c>
      <c r="I1890" s="22">
        <f t="shared" si="63"/>
        <v>33943</v>
      </c>
      <c r="J1890" s="1" t="str">
        <f>"00746983"</f>
        <v>00746983</v>
      </c>
      <c r="K1890" s="1" t="str">
        <f>"３０３　　　　　　　　　　　　　　　　　"</f>
        <v>３０３　　　　　　　　　　　　　　　　　</v>
      </c>
      <c r="L1890" s="1"/>
    </row>
    <row r="1891" spans="1:12" ht="18" customHeight="1" x14ac:dyDescent="0.15">
      <c r="A1891" s="11">
        <v>4908</v>
      </c>
      <c r="B1891" s="11" t="s">
        <v>502</v>
      </c>
      <c r="C1891" s="11" t="s">
        <v>505</v>
      </c>
      <c r="D1891" s="11">
        <v>1</v>
      </c>
      <c r="E1891" s="11" t="s">
        <v>61</v>
      </c>
      <c r="F1891" s="12">
        <v>101000</v>
      </c>
      <c r="G1891" s="12">
        <v>101000</v>
      </c>
      <c r="H1891" s="11" t="str">
        <f t="shared" si="62"/>
        <v>平成4年12月5日</v>
      </c>
      <c r="I1891" s="22">
        <f t="shared" si="63"/>
        <v>33943</v>
      </c>
      <c r="J1891" s="1" t="str">
        <f>"00746985"</f>
        <v>00746985</v>
      </c>
      <c r="K1891" s="1" t="str">
        <f>"３０４　　　　　　　　　　　　　　　　　"</f>
        <v>３０４　　　　　　　　　　　　　　　　　</v>
      </c>
      <c r="L1891" s="1"/>
    </row>
    <row r="1892" spans="1:12" s="40" customFormat="1" ht="18" customHeight="1" x14ac:dyDescent="0.15">
      <c r="A1892" s="25">
        <v>4909</v>
      </c>
      <c r="B1892" s="25" t="s">
        <v>502</v>
      </c>
      <c r="C1892" s="25" t="s">
        <v>506</v>
      </c>
      <c r="D1892" s="25">
        <v>1</v>
      </c>
      <c r="E1892" s="25" t="s">
        <v>61</v>
      </c>
      <c r="F1892" s="38">
        <v>47400</v>
      </c>
      <c r="G1892" s="38" t="s">
        <v>671</v>
      </c>
      <c r="H1892" s="25" t="str">
        <f t="shared" si="62"/>
        <v>平成4年12月5日</v>
      </c>
      <c r="I1892" s="39">
        <f t="shared" si="63"/>
        <v>33943</v>
      </c>
      <c r="J1892" s="25" t="str">
        <f>"00746987"</f>
        <v>00746987</v>
      </c>
      <c r="K1892" s="25" t="str">
        <f>"３０５　　　　　　　　　　　　　　　　　"</f>
        <v>３０５　　　　　　　　　　　　　　　　　</v>
      </c>
      <c r="L1892" s="25"/>
    </row>
    <row r="1893" spans="1:12" s="40" customFormat="1" ht="18" customHeight="1" x14ac:dyDescent="0.15">
      <c r="A1893" s="25">
        <v>4910</v>
      </c>
      <c r="B1893" s="25" t="s">
        <v>502</v>
      </c>
      <c r="C1893" s="25" t="s">
        <v>506</v>
      </c>
      <c r="D1893" s="25">
        <v>1</v>
      </c>
      <c r="E1893" s="25" t="s">
        <v>61</v>
      </c>
      <c r="F1893" s="38">
        <v>47400</v>
      </c>
      <c r="G1893" s="38" t="s">
        <v>671</v>
      </c>
      <c r="H1893" s="25" t="str">
        <f t="shared" si="62"/>
        <v>平成4年12月5日</v>
      </c>
      <c r="I1893" s="39">
        <f t="shared" si="63"/>
        <v>33943</v>
      </c>
      <c r="J1893" s="25" t="str">
        <f>"00746989"</f>
        <v>00746989</v>
      </c>
      <c r="K1893" s="25" t="str">
        <f>"３０６　　　　　　　　　　　　　　　　　"</f>
        <v>３０６　　　　　　　　　　　　　　　　　</v>
      </c>
      <c r="L1893" s="25"/>
    </row>
    <row r="1894" spans="1:12" s="40" customFormat="1" ht="18" customHeight="1" x14ac:dyDescent="0.15">
      <c r="A1894" s="25">
        <v>4911</v>
      </c>
      <c r="B1894" s="25" t="s">
        <v>502</v>
      </c>
      <c r="C1894" s="25" t="s">
        <v>506</v>
      </c>
      <c r="D1894" s="25">
        <v>1</v>
      </c>
      <c r="E1894" s="25" t="s">
        <v>61</v>
      </c>
      <c r="F1894" s="38">
        <v>47400</v>
      </c>
      <c r="G1894" s="38" t="s">
        <v>671</v>
      </c>
      <c r="H1894" s="25" t="str">
        <f t="shared" si="62"/>
        <v>平成4年12月5日</v>
      </c>
      <c r="I1894" s="39">
        <f t="shared" si="63"/>
        <v>33943</v>
      </c>
      <c r="J1894" s="25" t="str">
        <f>"00746991"</f>
        <v>00746991</v>
      </c>
      <c r="K1894" s="25" t="str">
        <f>"３０７　　　　　　　　　　　　　　　　　"</f>
        <v>３０７　　　　　　　　　　　　　　　　　</v>
      </c>
      <c r="L1894" s="25"/>
    </row>
    <row r="1895" spans="1:12" s="40" customFormat="1" ht="18" customHeight="1" x14ac:dyDescent="0.15">
      <c r="A1895" s="25">
        <v>4912</v>
      </c>
      <c r="B1895" s="25" t="s">
        <v>502</v>
      </c>
      <c r="C1895" s="25" t="s">
        <v>506</v>
      </c>
      <c r="D1895" s="25">
        <v>1</v>
      </c>
      <c r="E1895" s="25" t="s">
        <v>61</v>
      </c>
      <c r="F1895" s="38">
        <v>47400</v>
      </c>
      <c r="G1895" s="38" t="s">
        <v>671</v>
      </c>
      <c r="H1895" s="25" t="str">
        <f t="shared" si="62"/>
        <v>平成4年12月5日</v>
      </c>
      <c r="I1895" s="39">
        <f t="shared" si="63"/>
        <v>33943</v>
      </c>
      <c r="J1895" s="25" t="str">
        <f>"00746993"</f>
        <v>00746993</v>
      </c>
      <c r="K1895" s="25" t="str">
        <f>"３０８　　　　　　　　　　　　　　　　　"</f>
        <v>３０８　　　　　　　　　　　　　　　　　</v>
      </c>
      <c r="L1895" s="25"/>
    </row>
    <row r="1896" spans="1:12" s="40" customFormat="1" ht="18" customHeight="1" x14ac:dyDescent="0.15">
      <c r="A1896" s="25">
        <v>4913</v>
      </c>
      <c r="B1896" s="25" t="s">
        <v>502</v>
      </c>
      <c r="C1896" s="25" t="s">
        <v>506</v>
      </c>
      <c r="D1896" s="25">
        <v>1</v>
      </c>
      <c r="E1896" s="25" t="s">
        <v>61</v>
      </c>
      <c r="F1896" s="38">
        <v>47400</v>
      </c>
      <c r="G1896" s="38" t="s">
        <v>671</v>
      </c>
      <c r="H1896" s="25" t="str">
        <f t="shared" si="62"/>
        <v>平成4年12月5日</v>
      </c>
      <c r="I1896" s="39">
        <f t="shared" si="63"/>
        <v>33943</v>
      </c>
      <c r="J1896" s="25" t="str">
        <f>"00746995"</f>
        <v>00746995</v>
      </c>
      <c r="K1896" s="25" t="str">
        <f>"３０９　　　　　　　　　　　　　　　　　"</f>
        <v>３０９　　　　　　　　　　　　　　　　　</v>
      </c>
      <c r="L1896" s="25"/>
    </row>
    <row r="1897" spans="1:12" ht="18" customHeight="1" x14ac:dyDescent="0.15">
      <c r="A1897" s="11">
        <v>4914</v>
      </c>
      <c r="B1897" s="11" t="s">
        <v>502</v>
      </c>
      <c r="C1897" s="11" t="s">
        <v>507</v>
      </c>
      <c r="D1897" s="11">
        <v>1</v>
      </c>
      <c r="E1897" s="11" t="s">
        <v>61</v>
      </c>
      <c r="F1897" s="12">
        <v>41200</v>
      </c>
      <c r="G1897" s="12">
        <v>41200</v>
      </c>
      <c r="H1897" s="11" t="str">
        <f t="shared" si="62"/>
        <v>平成4年12月5日</v>
      </c>
      <c r="I1897" s="22">
        <f t="shared" si="63"/>
        <v>33943</v>
      </c>
      <c r="J1897" s="1" t="str">
        <f>"00746997"</f>
        <v>00746997</v>
      </c>
      <c r="K1897" s="1" t="str">
        <f>"３１０　　　　　　　　　　　　　　　　　"</f>
        <v>３１０　　　　　　　　　　　　　　　　　</v>
      </c>
      <c r="L1897" s="1"/>
    </row>
    <row r="1898" spans="1:12" ht="18" customHeight="1" x14ac:dyDescent="0.15">
      <c r="A1898" s="11">
        <v>4915</v>
      </c>
      <c r="B1898" s="11" t="s">
        <v>502</v>
      </c>
      <c r="C1898" s="11" t="s">
        <v>507</v>
      </c>
      <c r="D1898" s="11">
        <v>1</v>
      </c>
      <c r="E1898" s="11" t="s">
        <v>61</v>
      </c>
      <c r="F1898" s="12">
        <v>41200</v>
      </c>
      <c r="G1898" s="12">
        <v>41200</v>
      </c>
      <c r="H1898" s="11" t="str">
        <f t="shared" si="62"/>
        <v>平成4年12月5日</v>
      </c>
      <c r="I1898" s="22">
        <f t="shared" si="63"/>
        <v>33943</v>
      </c>
      <c r="J1898" s="1" t="str">
        <f>"00746999"</f>
        <v>00746999</v>
      </c>
      <c r="K1898" s="1" t="str">
        <f>"３１１　　　　　　　　　　　　　　　　　"</f>
        <v>３１１　　　　　　　　　　　　　　　　　</v>
      </c>
      <c r="L1898" s="1"/>
    </row>
    <row r="1899" spans="1:12" ht="18" customHeight="1" x14ac:dyDescent="0.15">
      <c r="A1899" s="11">
        <v>4916</v>
      </c>
      <c r="B1899" s="11" t="s">
        <v>502</v>
      </c>
      <c r="C1899" s="11" t="s">
        <v>507</v>
      </c>
      <c r="D1899" s="11">
        <v>1</v>
      </c>
      <c r="E1899" s="11" t="s">
        <v>61</v>
      </c>
      <c r="F1899" s="12">
        <v>41200</v>
      </c>
      <c r="G1899" s="12">
        <v>41200</v>
      </c>
      <c r="H1899" s="11" t="str">
        <f t="shared" si="62"/>
        <v>平成4年12月5日</v>
      </c>
      <c r="I1899" s="22">
        <f t="shared" si="63"/>
        <v>33943</v>
      </c>
      <c r="J1899" s="1" t="str">
        <f>"00747001"</f>
        <v>00747001</v>
      </c>
      <c r="K1899" s="1" t="str">
        <f>"３１２　　　　　　　　　　　　　　　　　"</f>
        <v>３１２　　　　　　　　　　　　　　　　　</v>
      </c>
      <c r="L1899" s="1"/>
    </row>
    <row r="1900" spans="1:12" ht="18" customHeight="1" x14ac:dyDescent="0.15">
      <c r="A1900" s="11">
        <v>4917</v>
      </c>
      <c r="B1900" s="11" t="s">
        <v>502</v>
      </c>
      <c r="C1900" s="11" t="s">
        <v>507</v>
      </c>
      <c r="D1900" s="11">
        <v>1</v>
      </c>
      <c r="E1900" s="11" t="s">
        <v>61</v>
      </c>
      <c r="F1900" s="12">
        <v>41200</v>
      </c>
      <c r="G1900" s="12">
        <v>41200</v>
      </c>
      <c r="H1900" s="11" t="str">
        <f t="shared" si="62"/>
        <v>平成4年12月5日</v>
      </c>
      <c r="I1900" s="22">
        <f t="shared" si="63"/>
        <v>33943</v>
      </c>
      <c r="J1900" s="1" t="str">
        <f>"00747003"</f>
        <v>00747003</v>
      </c>
      <c r="K1900" s="1" t="str">
        <f>"３１３　　　　　　　　　　　　　　　　　"</f>
        <v>３１３　　　　　　　　　　　　　　　　　</v>
      </c>
      <c r="L1900" s="1"/>
    </row>
    <row r="1901" spans="1:12" ht="18" customHeight="1" x14ac:dyDescent="0.15">
      <c r="A1901" s="11">
        <v>4918</v>
      </c>
      <c r="B1901" s="11" t="s">
        <v>502</v>
      </c>
      <c r="C1901" s="11" t="s">
        <v>507</v>
      </c>
      <c r="D1901" s="11">
        <v>1</v>
      </c>
      <c r="E1901" s="11" t="s">
        <v>61</v>
      </c>
      <c r="F1901" s="12">
        <v>41200</v>
      </c>
      <c r="G1901" s="12">
        <v>41200</v>
      </c>
      <c r="H1901" s="11" t="str">
        <f t="shared" si="62"/>
        <v>平成4年12月5日</v>
      </c>
      <c r="I1901" s="22">
        <f t="shared" si="63"/>
        <v>33943</v>
      </c>
      <c r="J1901" s="1" t="str">
        <f>"00747005"</f>
        <v>00747005</v>
      </c>
      <c r="K1901" s="1" t="str">
        <f>"３１４　　　　　　　　　　　　　　　　　"</f>
        <v>３１４　　　　　　　　　　　　　　　　　</v>
      </c>
      <c r="L1901" s="1"/>
    </row>
    <row r="1902" spans="1:12" ht="18" customHeight="1" x14ac:dyDescent="0.15">
      <c r="A1902" s="11">
        <v>4919</v>
      </c>
      <c r="B1902" s="11" t="s">
        <v>502</v>
      </c>
      <c r="C1902" s="11" t="s">
        <v>507</v>
      </c>
      <c r="D1902" s="11">
        <v>1</v>
      </c>
      <c r="E1902" s="11" t="s">
        <v>61</v>
      </c>
      <c r="F1902" s="12">
        <v>41200</v>
      </c>
      <c r="G1902" s="12">
        <v>41200</v>
      </c>
      <c r="H1902" s="11" t="str">
        <f t="shared" ref="H1902:H1965" si="64">"平成4年12月5日"</f>
        <v>平成4年12月5日</v>
      </c>
      <c r="I1902" s="22">
        <f t="shared" si="63"/>
        <v>33943</v>
      </c>
      <c r="J1902" s="1" t="str">
        <f>"00747007"</f>
        <v>00747007</v>
      </c>
      <c r="K1902" s="1" t="str">
        <f>"３１５　　　　　　　　　　　　　　　　　"</f>
        <v>３１５　　　　　　　　　　　　　　　　　</v>
      </c>
      <c r="L1902" s="1"/>
    </row>
    <row r="1903" spans="1:12" ht="18" customHeight="1" x14ac:dyDescent="0.15">
      <c r="A1903" s="11">
        <v>4920</v>
      </c>
      <c r="B1903" s="11" t="s">
        <v>502</v>
      </c>
      <c r="C1903" s="11" t="s">
        <v>508</v>
      </c>
      <c r="D1903" s="11">
        <v>1</v>
      </c>
      <c r="E1903" s="11" t="s">
        <v>61</v>
      </c>
      <c r="F1903" s="12">
        <v>42800</v>
      </c>
      <c r="G1903" s="12">
        <v>42800</v>
      </c>
      <c r="H1903" s="11" t="str">
        <f t="shared" si="64"/>
        <v>平成4年12月5日</v>
      </c>
      <c r="I1903" s="22">
        <f t="shared" si="63"/>
        <v>33943</v>
      </c>
      <c r="J1903" s="1" t="str">
        <f>"00747009"</f>
        <v>00747009</v>
      </c>
      <c r="K1903" s="1" t="str">
        <f>"３１６　　　　　　　　　　　　　　　　　"</f>
        <v>３１６　　　　　　　　　　　　　　　　　</v>
      </c>
      <c r="L1903" s="1"/>
    </row>
    <row r="1904" spans="1:12" ht="18" customHeight="1" x14ac:dyDescent="0.15">
      <c r="A1904" s="11">
        <v>4921</v>
      </c>
      <c r="B1904" s="11" t="s">
        <v>502</v>
      </c>
      <c r="C1904" s="11" t="s">
        <v>508</v>
      </c>
      <c r="D1904" s="11">
        <v>1</v>
      </c>
      <c r="E1904" s="11" t="s">
        <v>61</v>
      </c>
      <c r="F1904" s="12">
        <v>42800</v>
      </c>
      <c r="G1904" s="12">
        <v>42800</v>
      </c>
      <c r="H1904" s="11" t="str">
        <f t="shared" si="64"/>
        <v>平成4年12月5日</v>
      </c>
      <c r="I1904" s="22">
        <f t="shared" si="63"/>
        <v>33943</v>
      </c>
      <c r="J1904" s="1" t="str">
        <f>"00747011"</f>
        <v>00747011</v>
      </c>
      <c r="K1904" s="1" t="str">
        <f>"３１７　　　　　　　　　　　　　　　　　"</f>
        <v>３１７　　　　　　　　　　　　　　　　　</v>
      </c>
      <c r="L1904" s="1"/>
    </row>
    <row r="1905" spans="1:12" ht="18" customHeight="1" x14ac:dyDescent="0.15">
      <c r="A1905" s="11">
        <v>4922</v>
      </c>
      <c r="B1905" s="11" t="s">
        <v>502</v>
      </c>
      <c r="C1905" s="11" t="s">
        <v>508</v>
      </c>
      <c r="D1905" s="11">
        <v>1</v>
      </c>
      <c r="E1905" s="11" t="s">
        <v>61</v>
      </c>
      <c r="F1905" s="12">
        <v>42800</v>
      </c>
      <c r="G1905" s="12">
        <v>42800</v>
      </c>
      <c r="H1905" s="11" t="str">
        <f t="shared" si="64"/>
        <v>平成4年12月5日</v>
      </c>
      <c r="I1905" s="22">
        <f t="shared" si="63"/>
        <v>33943</v>
      </c>
      <c r="J1905" s="1" t="str">
        <f>"00747013"</f>
        <v>00747013</v>
      </c>
      <c r="K1905" s="1" t="str">
        <f>"３１８　　　　　　　　　　　　　　　　　"</f>
        <v>３１８　　　　　　　　　　　　　　　　　</v>
      </c>
      <c r="L1905" s="1"/>
    </row>
    <row r="1906" spans="1:12" ht="18" customHeight="1" x14ac:dyDescent="0.15">
      <c r="A1906" s="11">
        <v>4923</v>
      </c>
      <c r="B1906" s="11" t="s">
        <v>502</v>
      </c>
      <c r="C1906" s="11" t="s">
        <v>508</v>
      </c>
      <c r="D1906" s="11">
        <v>1</v>
      </c>
      <c r="E1906" s="11" t="s">
        <v>61</v>
      </c>
      <c r="F1906" s="12">
        <v>42800</v>
      </c>
      <c r="G1906" s="12">
        <v>42800</v>
      </c>
      <c r="H1906" s="11" t="str">
        <f t="shared" si="64"/>
        <v>平成4年12月5日</v>
      </c>
      <c r="I1906" s="22">
        <f t="shared" si="63"/>
        <v>33943</v>
      </c>
      <c r="J1906" s="1" t="str">
        <f>"00747014"</f>
        <v>00747014</v>
      </c>
      <c r="K1906" s="1" t="str">
        <f>"３１９　　　　　　　　　　　　　　　　　"</f>
        <v>３１９　　　　　　　　　　　　　　　　　</v>
      </c>
      <c r="L1906" s="1"/>
    </row>
    <row r="1907" spans="1:12" ht="18" customHeight="1" x14ac:dyDescent="0.15">
      <c r="A1907" s="11">
        <v>4924</v>
      </c>
      <c r="B1907" s="11" t="s">
        <v>502</v>
      </c>
      <c r="C1907" s="11" t="s">
        <v>508</v>
      </c>
      <c r="D1907" s="11">
        <v>1</v>
      </c>
      <c r="E1907" s="11" t="s">
        <v>61</v>
      </c>
      <c r="F1907" s="12">
        <v>42800</v>
      </c>
      <c r="G1907" s="12">
        <v>42800</v>
      </c>
      <c r="H1907" s="11" t="str">
        <f t="shared" si="64"/>
        <v>平成4年12月5日</v>
      </c>
      <c r="I1907" s="22">
        <f t="shared" si="63"/>
        <v>33943</v>
      </c>
      <c r="J1907" s="1" t="str">
        <f>"00747016"</f>
        <v>00747016</v>
      </c>
      <c r="K1907" s="1" t="str">
        <f>"３２０　　　　　　　　　　　　　　　　　"</f>
        <v>３２０　　　　　　　　　　　　　　　　　</v>
      </c>
      <c r="L1907" s="1"/>
    </row>
    <row r="1908" spans="1:12" ht="18" customHeight="1" x14ac:dyDescent="0.15">
      <c r="A1908" s="11">
        <v>4925</v>
      </c>
      <c r="B1908" s="11" t="s">
        <v>502</v>
      </c>
      <c r="C1908" s="11" t="s">
        <v>508</v>
      </c>
      <c r="D1908" s="11">
        <v>1</v>
      </c>
      <c r="E1908" s="11" t="s">
        <v>61</v>
      </c>
      <c r="F1908" s="12">
        <v>42800</v>
      </c>
      <c r="G1908" s="12">
        <v>42800</v>
      </c>
      <c r="H1908" s="11" t="str">
        <f t="shared" si="64"/>
        <v>平成4年12月5日</v>
      </c>
      <c r="I1908" s="22">
        <f t="shared" si="63"/>
        <v>33943</v>
      </c>
      <c r="J1908" s="1" t="str">
        <f>"00747018"</f>
        <v>00747018</v>
      </c>
      <c r="K1908" s="1" t="str">
        <f>"３２１　　　　　　　　　　　　　　　　　"</f>
        <v>３２１　　　　　　　　　　　　　　　　　</v>
      </c>
      <c r="L1908" s="1"/>
    </row>
    <row r="1909" spans="1:12" ht="18" customHeight="1" x14ac:dyDescent="0.15">
      <c r="A1909" s="11">
        <v>4926</v>
      </c>
      <c r="B1909" s="11" t="s">
        <v>502</v>
      </c>
      <c r="C1909" s="11" t="s">
        <v>509</v>
      </c>
      <c r="D1909" s="11">
        <v>1</v>
      </c>
      <c r="E1909" s="11" t="s">
        <v>61</v>
      </c>
      <c r="F1909" s="12">
        <v>37600</v>
      </c>
      <c r="G1909" s="12">
        <v>37600</v>
      </c>
      <c r="H1909" s="11" t="str">
        <f t="shared" si="64"/>
        <v>平成4年12月5日</v>
      </c>
      <c r="I1909" s="22">
        <f t="shared" si="63"/>
        <v>33943</v>
      </c>
      <c r="J1909" s="1" t="str">
        <f>"00747020"</f>
        <v>00747020</v>
      </c>
      <c r="K1909" s="1" t="str">
        <f>"３２２　　　　　　　　　　　　　　　　　"</f>
        <v>３２２　　　　　　　　　　　　　　　　　</v>
      </c>
      <c r="L1909" s="1"/>
    </row>
    <row r="1910" spans="1:12" ht="18" customHeight="1" x14ac:dyDescent="0.15">
      <c r="A1910" s="11">
        <v>4927</v>
      </c>
      <c r="B1910" s="11" t="s">
        <v>502</v>
      </c>
      <c r="C1910" s="11" t="s">
        <v>509</v>
      </c>
      <c r="D1910" s="11">
        <v>1</v>
      </c>
      <c r="E1910" s="11" t="s">
        <v>61</v>
      </c>
      <c r="F1910" s="12">
        <v>37600</v>
      </c>
      <c r="G1910" s="12">
        <v>37600</v>
      </c>
      <c r="H1910" s="11" t="str">
        <f t="shared" si="64"/>
        <v>平成4年12月5日</v>
      </c>
      <c r="I1910" s="22">
        <f t="shared" si="63"/>
        <v>33943</v>
      </c>
      <c r="J1910" s="1" t="str">
        <f>"00747023"</f>
        <v>00747023</v>
      </c>
      <c r="K1910" s="1" t="str">
        <f>"３２３　　　　　　　　　　　　　　　　　"</f>
        <v>３２３　　　　　　　　　　　　　　　　　</v>
      </c>
      <c r="L1910" s="1"/>
    </row>
    <row r="1911" spans="1:12" ht="18" customHeight="1" x14ac:dyDescent="0.15">
      <c r="A1911" s="11">
        <v>4928</v>
      </c>
      <c r="B1911" s="11" t="s">
        <v>502</v>
      </c>
      <c r="C1911" s="11" t="s">
        <v>509</v>
      </c>
      <c r="D1911" s="11">
        <v>1</v>
      </c>
      <c r="E1911" s="11" t="s">
        <v>61</v>
      </c>
      <c r="F1911" s="12">
        <v>37600</v>
      </c>
      <c r="G1911" s="12">
        <v>37600</v>
      </c>
      <c r="H1911" s="11" t="str">
        <f t="shared" si="64"/>
        <v>平成4年12月5日</v>
      </c>
      <c r="I1911" s="22">
        <f t="shared" si="63"/>
        <v>33943</v>
      </c>
      <c r="J1911" s="1" t="str">
        <f>"00747025"</f>
        <v>00747025</v>
      </c>
      <c r="K1911" s="1" t="str">
        <f>"３２４　　　　　　　　　　　　　　　　　"</f>
        <v>３２４　　　　　　　　　　　　　　　　　</v>
      </c>
      <c r="L1911" s="1"/>
    </row>
    <row r="1912" spans="1:12" ht="18" customHeight="1" x14ac:dyDescent="0.15">
      <c r="A1912" s="11">
        <v>4929</v>
      </c>
      <c r="B1912" s="11" t="s">
        <v>502</v>
      </c>
      <c r="C1912" s="11" t="s">
        <v>509</v>
      </c>
      <c r="D1912" s="11">
        <v>1</v>
      </c>
      <c r="E1912" s="11" t="s">
        <v>61</v>
      </c>
      <c r="F1912" s="12">
        <v>37600</v>
      </c>
      <c r="G1912" s="12">
        <v>37600</v>
      </c>
      <c r="H1912" s="11" t="str">
        <f t="shared" si="64"/>
        <v>平成4年12月5日</v>
      </c>
      <c r="I1912" s="22">
        <f t="shared" si="63"/>
        <v>33943</v>
      </c>
      <c r="J1912" s="1" t="str">
        <f>"00747027"</f>
        <v>00747027</v>
      </c>
      <c r="K1912" s="1" t="str">
        <f>"３２５　　　　　　　　　　　　　　　　　"</f>
        <v>３２５　　　　　　　　　　　　　　　　　</v>
      </c>
      <c r="L1912" s="1"/>
    </row>
    <row r="1913" spans="1:12" ht="18" customHeight="1" x14ac:dyDescent="0.15">
      <c r="A1913" s="11">
        <v>4930</v>
      </c>
      <c r="B1913" s="11" t="s">
        <v>502</v>
      </c>
      <c r="C1913" s="11" t="s">
        <v>509</v>
      </c>
      <c r="D1913" s="11">
        <v>1</v>
      </c>
      <c r="E1913" s="11" t="s">
        <v>61</v>
      </c>
      <c r="F1913" s="12">
        <v>37600</v>
      </c>
      <c r="G1913" s="12">
        <v>37600</v>
      </c>
      <c r="H1913" s="11" t="str">
        <f t="shared" si="64"/>
        <v>平成4年12月5日</v>
      </c>
      <c r="I1913" s="22">
        <f t="shared" si="63"/>
        <v>33943</v>
      </c>
      <c r="J1913" s="1" t="str">
        <f>"00747029"</f>
        <v>00747029</v>
      </c>
      <c r="K1913" s="1" t="str">
        <f>"３２６　　　　　　　　　　　　　　　　　"</f>
        <v>３２６　　　　　　　　　　　　　　　　　</v>
      </c>
      <c r="L1913" s="1"/>
    </row>
    <row r="1914" spans="1:12" ht="18" customHeight="1" x14ac:dyDescent="0.15">
      <c r="A1914" s="11">
        <v>4931</v>
      </c>
      <c r="B1914" s="11" t="s">
        <v>502</v>
      </c>
      <c r="C1914" s="11" t="s">
        <v>509</v>
      </c>
      <c r="D1914" s="11">
        <v>1</v>
      </c>
      <c r="E1914" s="11" t="s">
        <v>61</v>
      </c>
      <c r="F1914" s="12">
        <v>37600</v>
      </c>
      <c r="G1914" s="12">
        <v>37600</v>
      </c>
      <c r="H1914" s="11" t="str">
        <f t="shared" si="64"/>
        <v>平成4年12月5日</v>
      </c>
      <c r="I1914" s="22">
        <f t="shared" si="63"/>
        <v>33943</v>
      </c>
      <c r="J1914" s="1" t="str">
        <f>"00747030"</f>
        <v>00747030</v>
      </c>
      <c r="K1914" s="1" t="str">
        <f>"３２７　　　　　　　　　　　　　　　　　"</f>
        <v>３２７　　　　　　　　　　　　　　　　　</v>
      </c>
      <c r="L1914" s="1"/>
    </row>
    <row r="1915" spans="1:12" ht="18" customHeight="1" x14ac:dyDescent="0.15">
      <c r="A1915" s="11">
        <v>4932</v>
      </c>
      <c r="B1915" s="11" t="s">
        <v>502</v>
      </c>
      <c r="C1915" s="11" t="s">
        <v>510</v>
      </c>
      <c r="D1915" s="11">
        <v>1</v>
      </c>
      <c r="E1915" s="11" t="s">
        <v>61</v>
      </c>
      <c r="F1915" s="12">
        <v>31900</v>
      </c>
      <c r="G1915" s="12">
        <v>31900</v>
      </c>
      <c r="H1915" s="11" t="str">
        <f t="shared" si="64"/>
        <v>平成4年12月5日</v>
      </c>
      <c r="I1915" s="22">
        <f t="shared" si="63"/>
        <v>33943</v>
      </c>
      <c r="J1915" s="1" t="str">
        <f>"00747034"</f>
        <v>00747034</v>
      </c>
      <c r="K1915" s="1" t="str">
        <f>"３３２　　　　　　　　　　　　　　　　　"</f>
        <v>３３２　　　　　　　　　　　　　　　　　</v>
      </c>
      <c r="L1915" s="1"/>
    </row>
    <row r="1916" spans="1:12" ht="18" customHeight="1" x14ac:dyDescent="0.15">
      <c r="A1916" s="11">
        <v>4933</v>
      </c>
      <c r="B1916" s="11" t="s">
        <v>502</v>
      </c>
      <c r="C1916" s="11" t="s">
        <v>511</v>
      </c>
      <c r="D1916" s="11">
        <v>1</v>
      </c>
      <c r="E1916" s="11" t="s">
        <v>61</v>
      </c>
      <c r="F1916" s="12">
        <v>24102</v>
      </c>
      <c r="G1916" s="12">
        <v>24102</v>
      </c>
      <c r="H1916" s="11" t="str">
        <f t="shared" si="64"/>
        <v>平成4年12月5日</v>
      </c>
      <c r="I1916" s="22">
        <f t="shared" si="63"/>
        <v>33943</v>
      </c>
      <c r="J1916" s="1" t="str">
        <f>"00747036"</f>
        <v>00747036</v>
      </c>
      <c r="K1916" s="1" t="str">
        <f>"３３８　　　　　　　　　　　　　　　　　"</f>
        <v>３３８　　　　　　　　　　　　　　　　　</v>
      </c>
      <c r="L1916" s="1"/>
    </row>
    <row r="1917" spans="1:12" ht="18" customHeight="1" x14ac:dyDescent="0.15">
      <c r="A1917" s="11">
        <v>4934</v>
      </c>
      <c r="B1917" s="11" t="s">
        <v>502</v>
      </c>
      <c r="C1917" s="11" t="s">
        <v>512</v>
      </c>
      <c r="D1917" s="11">
        <v>1</v>
      </c>
      <c r="E1917" s="11" t="s">
        <v>61</v>
      </c>
      <c r="F1917" s="12">
        <v>38831</v>
      </c>
      <c r="G1917" s="12">
        <v>38831</v>
      </c>
      <c r="H1917" s="11" t="str">
        <f t="shared" si="64"/>
        <v>平成4年12月5日</v>
      </c>
      <c r="I1917" s="22">
        <f t="shared" si="63"/>
        <v>33943</v>
      </c>
      <c r="J1917" s="1" t="str">
        <f>"00747044"</f>
        <v>00747044</v>
      </c>
      <c r="K1917" s="1" t="str">
        <f>"３５１　　　　　　　　　　　　　　　　　"</f>
        <v>３５１　　　　　　　　　　　　　　　　　</v>
      </c>
      <c r="L1917" s="1"/>
    </row>
    <row r="1918" spans="1:12" ht="18" customHeight="1" x14ac:dyDescent="0.15">
      <c r="A1918" s="11">
        <v>4935</v>
      </c>
      <c r="B1918" s="11" t="s">
        <v>502</v>
      </c>
      <c r="C1918" s="11" t="s">
        <v>505</v>
      </c>
      <c r="D1918" s="11">
        <v>1</v>
      </c>
      <c r="E1918" s="11" t="s">
        <v>61</v>
      </c>
      <c r="F1918" s="12">
        <v>288400</v>
      </c>
      <c r="G1918" s="12">
        <v>288400</v>
      </c>
      <c r="H1918" s="11" t="str">
        <f t="shared" si="64"/>
        <v>平成4年12月5日</v>
      </c>
      <c r="I1918" s="22">
        <f t="shared" si="63"/>
        <v>33943</v>
      </c>
      <c r="J1918" s="1" t="str">
        <f>"00747047"</f>
        <v>00747047</v>
      </c>
      <c r="K1918" s="1" t="str">
        <f>"３５２　　　　　　　　　　　　　　　　　"</f>
        <v>３５２　　　　　　　　　　　　　　　　　</v>
      </c>
      <c r="L1918" s="1"/>
    </row>
    <row r="1919" spans="1:12" ht="18" customHeight="1" x14ac:dyDescent="0.15">
      <c r="A1919" s="1">
        <v>5006</v>
      </c>
      <c r="B1919" s="11" t="s">
        <v>520</v>
      </c>
      <c r="C1919" s="11" t="s">
        <v>521</v>
      </c>
      <c r="D1919" s="11">
        <v>1</v>
      </c>
      <c r="E1919" s="11" t="s">
        <v>21</v>
      </c>
      <c r="F1919" s="12">
        <v>246000</v>
      </c>
      <c r="G1919" s="12">
        <v>246000</v>
      </c>
      <c r="H1919" s="11" t="str">
        <f t="shared" si="64"/>
        <v>平成4年12月5日</v>
      </c>
      <c r="I1919" s="22">
        <f t="shared" si="63"/>
        <v>33943</v>
      </c>
      <c r="J1919" s="1" t="str">
        <f>"00747246"</f>
        <v>00747246</v>
      </c>
      <c r="K1919" s="1" t="str">
        <f>"３０１　　　　　　　　　　　　　　　　　"</f>
        <v>３０１　　　　　　　　　　　　　　　　　</v>
      </c>
      <c r="L1919" s="1"/>
    </row>
    <row r="1920" spans="1:12" ht="18" customHeight="1" x14ac:dyDescent="0.15">
      <c r="A1920" s="1">
        <v>5007</v>
      </c>
      <c r="B1920" s="11" t="s">
        <v>520</v>
      </c>
      <c r="C1920" s="11" t="s">
        <v>521</v>
      </c>
      <c r="D1920" s="11">
        <v>1</v>
      </c>
      <c r="E1920" s="11" t="s">
        <v>21</v>
      </c>
      <c r="F1920" s="12">
        <v>246000</v>
      </c>
      <c r="G1920" s="12">
        <v>246000</v>
      </c>
      <c r="H1920" s="11" t="str">
        <f t="shared" si="64"/>
        <v>平成4年12月5日</v>
      </c>
      <c r="I1920" s="22">
        <f t="shared" si="63"/>
        <v>33943</v>
      </c>
      <c r="J1920" s="1" t="str">
        <f>"00747248"</f>
        <v>00747248</v>
      </c>
      <c r="K1920" s="1" t="str">
        <f>"３０２　　　　　　　　　　　　　　　　　"</f>
        <v>３０２　　　　　　　　　　　　　　　　　</v>
      </c>
      <c r="L1920" s="1"/>
    </row>
    <row r="1921" spans="1:12" ht="18" customHeight="1" x14ac:dyDescent="0.15">
      <c r="A1921" s="1">
        <v>5008</v>
      </c>
      <c r="B1921" s="11" t="s">
        <v>520</v>
      </c>
      <c r="C1921" s="11" t="s">
        <v>521</v>
      </c>
      <c r="D1921" s="11">
        <v>1</v>
      </c>
      <c r="E1921" s="11" t="s">
        <v>21</v>
      </c>
      <c r="F1921" s="12">
        <v>246000</v>
      </c>
      <c r="G1921" s="12">
        <v>246000</v>
      </c>
      <c r="H1921" s="11" t="str">
        <f t="shared" si="64"/>
        <v>平成4年12月5日</v>
      </c>
      <c r="I1921" s="22">
        <f t="shared" si="63"/>
        <v>33943</v>
      </c>
      <c r="J1921" s="1" t="str">
        <f>"00747250"</f>
        <v>00747250</v>
      </c>
      <c r="K1921" s="1" t="str">
        <f>"３０３　　　　　　　　　　　　　　　　　"</f>
        <v>３０３　　　　　　　　　　　　　　　　　</v>
      </c>
      <c r="L1921" s="1"/>
    </row>
    <row r="1922" spans="1:12" ht="18" customHeight="1" x14ac:dyDescent="0.15">
      <c r="A1922" s="1">
        <v>5009</v>
      </c>
      <c r="B1922" s="11" t="s">
        <v>520</v>
      </c>
      <c r="C1922" s="11" t="s">
        <v>521</v>
      </c>
      <c r="D1922" s="11">
        <v>1</v>
      </c>
      <c r="E1922" s="11" t="s">
        <v>21</v>
      </c>
      <c r="F1922" s="12">
        <v>246000</v>
      </c>
      <c r="G1922" s="12">
        <v>246000</v>
      </c>
      <c r="H1922" s="11" t="str">
        <f t="shared" si="64"/>
        <v>平成4年12月5日</v>
      </c>
      <c r="I1922" s="22">
        <f t="shared" si="63"/>
        <v>33943</v>
      </c>
      <c r="J1922" s="1" t="str">
        <f>"00747252"</f>
        <v>00747252</v>
      </c>
      <c r="K1922" s="1" t="str">
        <f>"３０４　　　　　　　　　　　　　　　　　"</f>
        <v>３０４　　　　　　　　　　　　　　　　　</v>
      </c>
      <c r="L1922" s="1"/>
    </row>
    <row r="1923" spans="1:12" ht="18" customHeight="1" x14ac:dyDescent="0.15">
      <c r="A1923" s="1">
        <v>5010</v>
      </c>
      <c r="B1923" s="11" t="s">
        <v>520</v>
      </c>
      <c r="C1923" s="11" t="s">
        <v>521</v>
      </c>
      <c r="D1923" s="11">
        <v>1</v>
      </c>
      <c r="E1923" s="11" t="s">
        <v>21</v>
      </c>
      <c r="F1923" s="12">
        <v>246000</v>
      </c>
      <c r="G1923" s="12">
        <v>246000</v>
      </c>
      <c r="H1923" s="11" t="str">
        <f t="shared" si="64"/>
        <v>平成4年12月5日</v>
      </c>
      <c r="I1923" s="22">
        <f t="shared" si="63"/>
        <v>33943</v>
      </c>
      <c r="J1923" s="1" t="str">
        <f>"00747254"</f>
        <v>00747254</v>
      </c>
      <c r="K1923" s="1" t="str">
        <f>"３０５　　　　　　　　　　　　　　　　　"</f>
        <v>３０５　　　　　　　　　　　　　　　　　</v>
      </c>
      <c r="L1923" s="1"/>
    </row>
    <row r="1924" spans="1:12" ht="18" customHeight="1" x14ac:dyDescent="0.15">
      <c r="A1924" s="1">
        <v>5011</v>
      </c>
      <c r="B1924" s="11" t="s">
        <v>520</v>
      </c>
      <c r="C1924" s="11" t="s">
        <v>521</v>
      </c>
      <c r="D1924" s="11">
        <v>1</v>
      </c>
      <c r="E1924" s="11" t="s">
        <v>21</v>
      </c>
      <c r="F1924" s="12">
        <v>246000</v>
      </c>
      <c r="G1924" s="12">
        <v>246000</v>
      </c>
      <c r="H1924" s="11" t="str">
        <f t="shared" si="64"/>
        <v>平成4年12月5日</v>
      </c>
      <c r="I1924" s="22">
        <f t="shared" si="63"/>
        <v>33943</v>
      </c>
      <c r="J1924" s="1" t="str">
        <f>"00747256"</f>
        <v>00747256</v>
      </c>
      <c r="K1924" s="1" t="str">
        <f>"３０６　　　　　　　　　　　　　　　　　"</f>
        <v>３０６　　　　　　　　　　　　　　　　　</v>
      </c>
      <c r="L1924" s="1"/>
    </row>
    <row r="1925" spans="1:12" ht="18" customHeight="1" x14ac:dyDescent="0.15">
      <c r="A1925" s="1">
        <v>5012</v>
      </c>
      <c r="B1925" s="11" t="s">
        <v>520</v>
      </c>
      <c r="C1925" s="11" t="s">
        <v>521</v>
      </c>
      <c r="D1925" s="11">
        <v>1</v>
      </c>
      <c r="E1925" s="11" t="s">
        <v>21</v>
      </c>
      <c r="F1925" s="12">
        <v>246000</v>
      </c>
      <c r="G1925" s="12">
        <v>246000</v>
      </c>
      <c r="H1925" s="11" t="str">
        <f t="shared" si="64"/>
        <v>平成4年12月5日</v>
      </c>
      <c r="I1925" s="22">
        <f t="shared" si="63"/>
        <v>33943</v>
      </c>
      <c r="J1925" s="1" t="str">
        <f>"00747258"</f>
        <v>00747258</v>
      </c>
      <c r="K1925" s="1" t="str">
        <f>"３０７　　　　　　　　　　　　　　　　　"</f>
        <v>３０７　　　　　　　　　　　　　　　　　</v>
      </c>
      <c r="L1925" s="1"/>
    </row>
    <row r="1926" spans="1:12" ht="18" customHeight="1" x14ac:dyDescent="0.15">
      <c r="A1926" s="1">
        <v>5013</v>
      </c>
      <c r="B1926" s="11" t="s">
        <v>520</v>
      </c>
      <c r="C1926" s="11" t="s">
        <v>521</v>
      </c>
      <c r="D1926" s="11">
        <v>1</v>
      </c>
      <c r="E1926" s="11" t="s">
        <v>21</v>
      </c>
      <c r="F1926" s="12">
        <v>246000</v>
      </c>
      <c r="G1926" s="12">
        <v>246000</v>
      </c>
      <c r="H1926" s="11" t="str">
        <f t="shared" si="64"/>
        <v>平成4年12月5日</v>
      </c>
      <c r="I1926" s="22">
        <f t="shared" si="63"/>
        <v>33943</v>
      </c>
      <c r="J1926" s="1" t="str">
        <f>"00747260"</f>
        <v>00747260</v>
      </c>
      <c r="K1926" s="1" t="str">
        <f>"３０８　　　　　　　　　　　　　　　　　"</f>
        <v>３０８　　　　　　　　　　　　　　　　　</v>
      </c>
      <c r="L1926" s="1"/>
    </row>
    <row r="1927" spans="1:12" ht="18" customHeight="1" x14ac:dyDescent="0.15">
      <c r="A1927" s="1">
        <v>5014</v>
      </c>
      <c r="B1927" s="11" t="s">
        <v>520</v>
      </c>
      <c r="C1927" s="11" t="s">
        <v>521</v>
      </c>
      <c r="D1927" s="11">
        <v>1</v>
      </c>
      <c r="E1927" s="11" t="s">
        <v>21</v>
      </c>
      <c r="F1927" s="12">
        <v>246000</v>
      </c>
      <c r="G1927" s="12">
        <v>246000</v>
      </c>
      <c r="H1927" s="11" t="str">
        <f t="shared" si="64"/>
        <v>平成4年12月5日</v>
      </c>
      <c r="I1927" s="22">
        <f t="shared" si="63"/>
        <v>33943</v>
      </c>
      <c r="J1927" s="1" t="str">
        <f>"00747262"</f>
        <v>00747262</v>
      </c>
      <c r="K1927" s="1" t="str">
        <f>"３０９　　　　　　　　　　　　　　　　　"</f>
        <v>３０９　　　　　　　　　　　　　　　　　</v>
      </c>
      <c r="L1927" s="1"/>
    </row>
    <row r="1928" spans="1:12" ht="18" customHeight="1" x14ac:dyDescent="0.15">
      <c r="A1928" s="1">
        <v>5015</v>
      </c>
      <c r="B1928" s="11" t="s">
        <v>520</v>
      </c>
      <c r="C1928" s="11" t="s">
        <v>521</v>
      </c>
      <c r="D1928" s="11">
        <v>1</v>
      </c>
      <c r="E1928" s="11" t="s">
        <v>21</v>
      </c>
      <c r="F1928" s="12">
        <v>246000</v>
      </c>
      <c r="G1928" s="12">
        <v>246000</v>
      </c>
      <c r="H1928" s="11" t="str">
        <f t="shared" si="64"/>
        <v>平成4年12月5日</v>
      </c>
      <c r="I1928" s="22">
        <f t="shared" si="63"/>
        <v>33943</v>
      </c>
      <c r="J1928" s="1" t="str">
        <f>"00747264"</f>
        <v>00747264</v>
      </c>
      <c r="K1928" s="1" t="str">
        <f>"３１０　　　　　　　　　　　　　　　　　"</f>
        <v>３１０　　　　　　　　　　　　　　　　　</v>
      </c>
      <c r="L1928" s="1"/>
    </row>
    <row r="1929" spans="1:12" ht="18" customHeight="1" x14ac:dyDescent="0.15">
      <c r="A1929" s="1">
        <v>5016</v>
      </c>
      <c r="B1929" s="11" t="s">
        <v>520</v>
      </c>
      <c r="C1929" s="11" t="s">
        <v>521</v>
      </c>
      <c r="D1929" s="11">
        <v>1</v>
      </c>
      <c r="E1929" s="11" t="s">
        <v>21</v>
      </c>
      <c r="F1929" s="12">
        <v>246000</v>
      </c>
      <c r="G1929" s="12">
        <v>246000</v>
      </c>
      <c r="H1929" s="11" t="str">
        <f t="shared" si="64"/>
        <v>平成4年12月5日</v>
      </c>
      <c r="I1929" s="22">
        <f t="shared" si="63"/>
        <v>33943</v>
      </c>
      <c r="J1929" s="1" t="str">
        <f>"00747266"</f>
        <v>00747266</v>
      </c>
      <c r="K1929" s="1" t="str">
        <f>"３１１　　　　　　　　　　　　　　　　　"</f>
        <v>３１１　　　　　　　　　　　　　　　　　</v>
      </c>
      <c r="L1929" s="1"/>
    </row>
    <row r="1930" spans="1:12" ht="18" customHeight="1" x14ac:dyDescent="0.15">
      <c r="A1930" s="1">
        <v>5017</v>
      </c>
      <c r="B1930" s="11" t="s">
        <v>520</v>
      </c>
      <c r="C1930" s="11" t="s">
        <v>521</v>
      </c>
      <c r="D1930" s="11">
        <v>1</v>
      </c>
      <c r="E1930" s="11" t="s">
        <v>21</v>
      </c>
      <c r="F1930" s="12">
        <v>246000</v>
      </c>
      <c r="G1930" s="12">
        <v>246000</v>
      </c>
      <c r="H1930" s="11" t="str">
        <f t="shared" si="64"/>
        <v>平成4年12月5日</v>
      </c>
      <c r="I1930" s="22">
        <f t="shared" si="63"/>
        <v>33943</v>
      </c>
      <c r="J1930" s="1" t="str">
        <f>"00747268"</f>
        <v>00747268</v>
      </c>
      <c r="K1930" s="1" t="str">
        <f>"３１２　　　　　　　　　　　　　　　　　"</f>
        <v>３１２　　　　　　　　　　　　　　　　　</v>
      </c>
      <c r="L1930" s="1"/>
    </row>
    <row r="1931" spans="1:12" ht="18" customHeight="1" x14ac:dyDescent="0.15">
      <c r="A1931" s="1">
        <v>5018</v>
      </c>
      <c r="B1931" s="11" t="s">
        <v>520</v>
      </c>
      <c r="C1931" s="11" t="s">
        <v>521</v>
      </c>
      <c r="D1931" s="11">
        <v>1</v>
      </c>
      <c r="E1931" s="11" t="s">
        <v>21</v>
      </c>
      <c r="F1931" s="12">
        <v>216300</v>
      </c>
      <c r="G1931" s="12">
        <v>216300</v>
      </c>
      <c r="H1931" s="11" t="str">
        <f t="shared" si="64"/>
        <v>平成4年12月5日</v>
      </c>
      <c r="I1931" s="22">
        <f t="shared" si="63"/>
        <v>33943</v>
      </c>
      <c r="J1931" s="1" t="str">
        <f>"00747270"</f>
        <v>00747270</v>
      </c>
      <c r="K1931" s="1" t="str">
        <f>"３１３　　　　　　　　　　　　　　　　　"</f>
        <v>３１３　　　　　　　　　　　　　　　　　</v>
      </c>
      <c r="L1931" s="1"/>
    </row>
    <row r="1932" spans="1:12" ht="18" customHeight="1" x14ac:dyDescent="0.15">
      <c r="A1932" s="1">
        <v>5019</v>
      </c>
      <c r="B1932" s="11" t="s">
        <v>520</v>
      </c>
      <c r="C1932" s="11" t="s">
        <v>521</v>
      </c>
      <c r="D1932" s="11">
        <v>1</v>
      </c>
      <c r="E1932" s="11" t="s">
        <v>21</v>
      </c>
      <c r="F1932" s="12">
        <v>216300</v>
      </c>
      <c r="G1932" s="12">
        <v>216300</v>
      </c>
      <c r="H1932" s="11" t="str">
        <f t="shared" si="64"/>
        <v>平成4年12月5日</v>
      </c>
      <c r="I1932" s="22">
        <f t="shared" si="63"/>
        <v>33943</v>
      </c>
      <c r="J1932" s="1" t="str">
        <f>"00747272"</f>
        <v>00747272</v>
      </c>
      <c r="K1932" s="1" t="str">
        <f>"３１４　　　　　　　　　　　　　　　　　"</f>
        <v>３１４　　　　　　　　　　　　　　　　　</v>
      </c>
      <c r="L1932" s="1"/>
    </row>
    <row r="1933" spans="1:12" ht="18" customHeight="1" x14ac:dyDescent="0.15">
      <c r="A1933" s="1">
        <v>5020</v>
      </c>
      <c r="B1933" s="11" t="s">
        <v>520</v>
      </c>
      <c r="C1933" s="11" t="s">
        <v>521</v>
      </c>
      <c r="D1933" s="11">
        <v>1</v>
      </c>
      <c r="E1933" s="11" t="s">
        <v>21</v>
      </c>
      <c r="F1933" s="12">
        <v>216300</v>
      </c>
      <c r="G1933" s="12">
        <v>216300</v>
      </c>
      <c r="H1933" s="11" t="str">
        <f t="shared" si="64"/>
        <v>平成4年12月5日</v>
      </c>
      <c r="I1933" s="22">
        <f t="shared" si="63"/>
        <v>33943</v>
      </c>
      <c r="J1933" s="1" t="str">
        <f>"00747274"</f>
        <v>00747274</v>
      </c>
      <c r="K1933" s="1" t="str">
        <f>"３１５　　　　　　　　　　　　　　　　　"</f>
        <v>３１５　　　　　　　　　　　　　　　　　</v>
      </c>
      <c r="L1933" s="1"/>
    </row>
    <row r="1934" spans="1:12" ht="18" customHeight="1" x14ac:dyDescent="0.15">
      <c r="A1934" s="1">
        <v>5021</v>
      </c>
      <c r="B1934" s="11" t="s">
        <v>520</v>
      </c>
      <c r="C1934" s="11" t="s">
        <v>521</v>
      </c>
      <c r="D1934" s="11">
        <v>1</v>
      </c>
      <c r="E1934" s="11" t="s">
        <v>21</v>
      </c>
      <c r="F1934" s="12">
        <v>216300</v>
      </c>
      <c r="G1934" s="12">
        <v>216300</v>
      </c>
      <c r="H1934" s="11" t="str">
        <f t="shared" si="64"/>
        <v>平成4年12月5日</v>
      </c>
      <c r="I1934" s="22">
        <f t="shared" si="63"/>
        <v>33943</v>
      </c>
      <c r="J1934" s="1" t="str">
        <f>"00747276"</f>
        <v>00747276</v>
      </c>
      <c r="K1934" s="1" t="str">
        <f>"３１６　　　　　　　　　　　　　　　　　"</f>
        <v>３１６　　　　　　　　　　　　　　　　　</v>
      </c>
      <c r="L1934" s="1"/>
    </row>
    <row r="1935" spans="1:12" ht="18" customHeight="1" x14ac:dyDescent="0.15">
      <c r="A1935" s="1">
        <v>5022</v>
      </c>
      <c r="B1935" s="11" t="s">
        <v>520</v>
      </c>
      <c r="C1935" s="11" t="s">
        <v>521</v>
      </c>
      <c r="D1935" s="11">
        <v>1</v>
      </c>
      <c r="E1935" s="11" t="s">
        <v>21</v>
      </c>
      <c r="F1935" s="12">
        <v>216300</v>
      </c>
      <c r="G1935" s="12">
        <v>216300</v>
      </c>
      <c r="H1935" s="11" t="str">
        <f t="shared" si="64"/>
        <v>平成4年12月5日</v>
      </c>
      <c r="I1935" s="22">
        <f t="shared" si="63"/>
        <v>33943</v>
      </c>
      <c r="J1935" s="1" t="str">
        <f>"00747279"</f>
        <v>00747279</v>
      </c>
      <c r="K1935" s="1" t="str">
        <f>"３１７　　　　　　　　　　　　　　　　　"</f>
        <v>３１７　　　　　　　　　　　　　　　　　</v>
      </c>
      <c r="L1935" s="1"/>
    </row>
    <row r="1936" spans="1:12" ht="18" customHeight="1" x14ac:dyDescent="0.15">
      <c r="A1936" s="1">
        <v>5023</v>
      </c>
      <c r="B1936" s="11" t="s">
        <v>520</v>
      </c>
      <c r="C1936" s="11" t="s">
        <v>521</v>
      </c>
      <c r="D1936" s="11">
        <v>1</v>
      </c>
      <c r="E1936" s="11" t="s">
        <v>21</v>
      </c>
      <c r="F1936" s="12">
        <v>216300</v>
      </c>
      <c r="G1936" s="12">
        <v>216300</v>
      </c>
      <c r="H1936" s="11" t="str">
        <f t="shared" si="64"/>
        <v>平成4年12月5日</v>
      </c>
      <c r="I1936" s="22">
        <f t="shared" si="63"/>
        <v>33943</v>
      </c>
      <c r="J1936" s="1" t="str">
        <f>"00747281"</f>
        <v>00747281</v>
      </c>
      <c r="K1936" s="1" t="str">
        <f>"３１８　　　　　　　　　　　　　　　　　"</f>
        <v>３１８　　　　　　　　　　　　　　　　　</v>
      </c>
      <c r="L1936" s="1"/>
    </row>
    <row r="1937" spans="1:12" ht="18" customHeight="1" x14ac:dyDescent="0.15">
      <c r="A1937" s="1">
        <v>5024</v>
      </c>
      <c r="B1937" s="11" t="s">
        <v>520</v>
      </c>
      <c r="C1937" s="11" t="s">
        <v>521</v>
      </c>
      <c r="D1937" s="11">
        <v>1</v>
      </c>
      <c r="E1937" s="11" t="s">
        <v>21</v>
      </c>
      <c r="F1937" s="12">
        <v>216300</v>
      </c>
      <c r="G1937" s="12">
        <v>216300</v>
      </c>
      <c r="H1937" s="11" t="str">
        <f t="shared" si="64"/>
        <v>平成4年12月5日</v>
      </c>
      <c r="I1937" s="22">
        <f t="shared" si="63"/>
        <v>33943</v>
      </c>
      <c r="J1937" s="1" t="str">
        <f>"00747283"</f>
        <v>00747283</v>
      </c>
      <c r="K1937" s="1" t="str">
        <f>"３１９　　　　　　　　　　　　　　　　　"</f>
        <v>３１９　　　　　　　　　　　　　　　　　</v>
      </c>
      <c r="L1937" s="1"/>
    </row>
    <row r="1938" spans="1:12" ht="18" customHeight="1" x14ac:dyDescent="0.15">
      <c r="A1938" s="1">
        <v>5025</v>
      </c>
      <c r="B1938" s="11" t="s">
        <v>520</v>
      </c>
      <c r="C1938" s="11" t="s">
        <v>521</v>
      </c>
      <c r="D1938" s="11">
        <v>1</v>
      </c>
      <c r="E1938" s="11" t="s">
        <v>21</v>
      </c>
      <c r="F1938" s="12">
        <v>216300</v>
      </c>
      <c r="G1938" s="12">
        <v>216300</v>
      </c>
      <c r="H1938" s="11" t="str">
        <f t="shared" si="64"/>
        <v>平成4年12月5日</v>
      </c>
      <c r="I1938" s="22">
        <f t="shared" ref="I1938:I2001" si="65">DATEVALUE(H1938)</f>
        <v>33943</v>
      </c>
      <c r="J1938" s="1" t="str">
        <f>"00747285"</f>
        <v>00747285</v>
      </c>
      <c r="K1938" s="1" t="str">
        <f>"３２０　　　　　　　　　　　　　　　　　"</f>
        <v>３２０　　　　　　　　　　　　　　　　　</v>
      </c>
      <c r="L1938" s="1"/>
    </row>
    <row r="1939" spans="1:12" ht="18" customHeight="1" x14ac:dyDescent="0.15">
      <c r="A1939" s="1">
        <v>5026</v>
      </c>
      <c r="B1939" s="11" t="s">
        <v>520</v>
      </c>
      <c r="C1939" s="11" t="s">
        <v>521</v>
      </c>
      <c r="D1939" s="11">
        <v>1</v>
      </c>
      <c r="E1939" s="11" t="s">
        <v>21</v>
      </c>
      <c r="F1939" s="12">
        <v>216300</v>
      </c>
      <c r="G1939" s="12">
        <v>216300</v>
      </c>
      <c r="H1939" s="11" t="str">
        <f t="shared" si="64"/>
        <v>平成4年12月5日</v>
      </c>
      <c r="I1939" s="22">
        <f t="shared" si="65"/>
        <v>33943</v>
      </c>
      <c r="J1939" s="1" t="str">
        <f>"00747287"</f>
        <v>00747287</v>
      </c>
      <c r="K1939" s="1" t="str">
        <f>"３２１　　　　　　　　　　　　　　　　　"</f>
        <v>３２１　　　　　　　　　　　　　　　　　</v>
      </c>
      <c r="L1939" s="1"/>
    </row>
    <row r="1940" spans="1:12" ht="18" customHeight="1" x14ac:dyDescent="0.15">
      <c r="A1940" s="1">
        <v>5027</v>
      </c>
      <c r="B1940" s="11" t="s">
        <v>520</v>
      </c>
      <c r="C1940" s="11" t="s">
        <v>521</v>
      </c>
      <c r="D1940" s="11">
        <v>1</v>
      </c>
      <c r="E1940" s="11" t="s">
        <v>21</v>
      </c>
      <c r="F1940" s="12">
        <v>216300</v>
      </c>
      <c r="G1940" s="12">
        <v>216300</v>
      </c>
      <c r="H1940" s="11" t="str">
        <f t="shared" si="64"/>
        <v>平成4年12月5日</v>
      </c>
      <c r="I1940" s="22">
        <f t="shared" si="65"/>
        <v>33943</v>
      </c>
      <c r="J1940" s="1" t="str">
        <f>"00747289"</f>
        <v>00747289</v>
      </c>
      <c r="K1940" s="1" t="str">
        <f>"３２２　　　　　　　　　　　　　　　　　"</f>
        <v>３２２　　　　　　　　　　　　　　　　　</v>
      </c>
      <c r="L1940" s="1"/>
    </row>
    <row r="1941" spans="1:12" ht="18" customHeight="1" x14ac:dyDescent="0.15">
      <c r="A1941" s="1">
        <v>5028</v>
      </c>
      <c r="B1941" s="11" t="s">
        <v>520</v>
      </c>
      <c r="C1941" s="11" t="s">
        <v>521</v>
      </c>
      <c r="D1941" s="11">
        <v>1</v>
      </c>
      <c r="E1941" s="11" t="s">
        <v>21</v>
      </c>
      <c r="F1941" s="12">
        <v>216300</v>
      </c>
      <c r="G1941" s="12">
        <v>216300</v>
      </c>
      <c r="H1941" s="11" t="str">
        <f t="shared" si="64"/>
        <v>平成4年12月5日</v>
      </c>
      <c r="I1941" s="22">
        <f t="shared" si="65"/>
        <v>33943</v>
      </c>
      <c r="J1941" s="1" t="str">
        <f>"00747291"</f>
        <v>00747291</v>
      </c>
      <c r="K1941" s="1" t="str">
        <f>"３２３　　　　　　　　　　　　　　　　　"</f>
        <v>３２３　　　　　　　　　　　　　　　　　</v>
      </c>
      <c r="L1941" s="1"/>
    </row>
    <row r="1942" spans="1:12" ht="18" customHeight="1" x14ac:dyDescent="0.15">
      <c r="A1942" s="1">
        <v>5029</v>
      </c>
      <c r="B1942" s="11" t="s">
        <v>520</v>
      </c>
      <c r="C1942" s="11" t="s">
        <v>521</v>
      </c>
      <c r="D1942" s="11">
        <v>1</v>
      </c>
      <c r="E1942" s="11" t="s">
        <v>21</v>
      </c>
      <c r="F1942" s="12">
        <v>216300</v>
      </c>
      <c r="G1942" s="12">
        <v>216300</v>
      </c>
      <c r="H1942" s="11" t="str">
        <f t="shared" si="64"/>
        <v>平成4年12月5日</v>
      </c>
      <c r="I1942" s="22">
        <f t="shared" si="65"/>
        <v>33943</v>
      </c>
      <c r="J1942" s="1" t="str">
        <f>"00747293"</f>
        <v>00747293</v>
      </c>
      <c r="K1942" s="1" t="str">
        <f>"３２４　　　　　　　　　　　　　　　　　"</f>
        <v>３２４　　　　　　　　　　　　　　　　　</v>
      </c>
      <c r="L1942" s="1"/>
    </row>
    <row r="1943" spans="1:12" ht="18" customHeight="1" x14ac:dyDescent="0.15">
      <c r="A1943" s="1">
        <v>5030</v>
      </c>
      <c r="B1943" s="11" t="s">
        <v>520</v>
      </c>
      <c r="C1943" s="11" t="s">
        <v>521</v>
      </c>
      <c r="D1943" s="11">
        <v>1</v>
      </c>
      <c r="E1943" s="11" t="s">
        <v>21</v>
      </c>
      <c r="F1943" s="12">
        <v>216300</v>
      </c>
      <c r="G1943" s="12">
        <v>216300</v>
      </c>
      <c r="H1943" s="11" t="str">
        <f t="shared" si="64"/>
        <v>平成4年12月5日</v>
      </c>
      <c r="I1943" s="22">
        <f t="shared" si="65"/>
        <v>33943</v>
      </c>
      <c r="J1943" s="1" t="str">
        <f>"00747295"</f>
        <v>00747295</v>
      </c>
      <c r="K1943" s="1" t="str">
        <f>"３２５　　　　　　　　　　　　　　　　　"</f>
        <v>３２５　　　　　　　　　　　　　　　　　</v>
      </c>
      <c r="L1943" s="1"/>
    </row>
    <row r="1944" spans="1:12" ht="18" customHeight="1" x14ac:dyDescent="0.15">
      <c r="A1944" s="1">
        <v>5031</v>
      </c>
      <c r="B1944" s="11" t="s">
        <v>520</v>
      </c>
      <c r="C1944" s="11" t="s">
        <v>521</v>
      </c>
      <c r="D1944" s="11">
        <v>1</v>
      </c>
      <c r="E1944" s="11" t="s">
        <v>21</v>
      </c>
      <c r="F1944" s="12">
        <v>216300</v>
      </c>
      <c r="G1944" s="12">
        <v>216300</v>
      </c>
      <c r="H1944" s="11" t="str">
        <f t="shared" si="64"/>
        <v>平成4年12月5日</v>
      </c>
      <c r="I1944" s="22">
        <f t="shared" si="65"/>
        <v>33943</v>
      </c>
      <c r="J1944" s="1" t="str">
        <f>"00747297"</f>
        <v>00747297</v>
      </c>
      <c r="K1944" s="1" t="str">
        <f>"３２６　　　　　　　　　　　　　　　　　"</f>
        <v>３２６　　　　　　　　　　　　　　　　　</v>
      </c>
      <c r="L1944" s="1"/>
    </row>
    <row r="1945" spans="1:12" ht="18" customHeight="1" x14ac:dyDescent="0.15">
      <c r="A1945" s="1">
        <v>5032</v>
      </c>
      <c r="B1945" s="11" t="s">
        <v>520</v>
      </c>
      <c r="C1945" s="11" t="s">
        <v>521</v>
      </c>
      <c r="D1945" s="11">
        <v>1</v>
      </c>
      <c r="E1945" s="11" t="s">
        <v>21</v>
      </c>
      <c r="F1945" s="12">
        <v>216300</v>
      </c>
      <c r="G1945" s="12">
        <v>216300</v>
      </c>
      <c r="H1945" s="11" t="str">
        <f t="shared" si="64"/>
        <v>平成4年12月5日</v>
      </c>
      <c r="I1945" s="22">
        <f t="shared" si="65"/>
        <v>33943</v>
      </c>
      <c r="J1945" s="1" t="str">
        <f>"00747299"</f>
        <v>00747299</v>
      </c>
      <c r="K1945" s="1" t="str">
        <f>"３２７　　　　　　　　　　　　　　　　　"</f>
        <v>３２７　　　　　　　　　　　　　　　　　</v>
      </c>
      <c r="L1945" s="1"/>
    </row>
    <row r="1946" spans="1:12" ht="18" customHeight="1" x14ac:dyDescent="0.15">
      <c r="A1946" s="1">
        <v>5033</v>
      </c>
      <c r="B1946" s="11" t="s">
        <v>520</v>
      </c>
      <c r="C1946" s="11" t="s">
        <v>521</v>
      </c>
      <c r="D1946" s="11">
        <v>1</v>
      </c>
      <c r="E1946" s="11" t="s">
        <v>21</v>
      </c>
      <c r="F1946" s="12">
        <v>179220</v>
      </c>
      <c r="G1946" s="12">
        <v>179220</v>
      </c>
      <c r="H1946" s="11" t="str">
        <f t="shared" si="64"/>
        <v>平成4年12月5日</v>
      </c>
      <c r="I1946" s="22">
        <f t="shared" si="65"/>
        <v>33943</v>
      </c>
      <c r="J1946" s="1" t="str">
        <f>"00747301"</f>
        <v>00747301</v>
      </c>
      <c r="K1946" s="1" t="str">
        <f>"３２８　　　　　　　　　　　　　　　　　"</f>
        <v>３２８　　　　　　　　　　　　　　　　　</v>
      </c>
      <c r="L1946" s="1"/>
    </row>
    <row r="1947" spans="1:12" ht="18" customHeight="1" x14ac:dyDescent="0.15">
      <c r="A1947" s="1">
        <v>5034</v>
      </c>
      <c r="B1947" s="11" t="s">
        <v>520</v>
      </c>
      <c r="C1947" s="11" t="s">
        <v>521</v>
      </c>
      <c r="D1947" s="11">
        <v>1</v>
      </c>
      <c r="E1947" s="11" t="s">
        <v>21</v>
      </c>
      <c r="F1947" s="12">
        <v>179220</v>
      </c>
      <c r="G1947" s="12">
        <v>179220</v>
      </c>
      <c r="H1947" s="11" t="str">
        <f t="shared" si="64"/>
        <v>平成4年12月5日</v>
      </c>
      <c r="I1947" s="22">
        <f t="shared" si="65"/>
        <v>33943</v>
      </c>
      <c r="J1947" s="1" t="str">
        <f>"00747303"</f>
        <v>00747303</v>
      </c>
      <c r="K1947" s="1" t="str">
        <f>"３２９　　　　　　　　　　　　　　　　　"</f>
        <v>３２９　　　　　　　　　　　　　　　　　</v>
      </c>
      <c r="L1947" s="1"/>
    </row>
    <row r="1948" spans="1:12" ht="18" customHeight="1" x14ac:dyDescent="0.15">
      <c r="A1948" s="1">
        <v>5203</v>
      </c>
      <c r="B1948" s="11" t="s">
        <v>536</v>
      </c>
      <c r="C1948" s="11" t="s">
        <v>537</v>
      </c>
      <c r="D1948" s="11">
        <v>1</v>
      </c>
      <c r="E1948" s="11" t="s">
        <v>9</v>
      </c>
      <c r="F1948" s="12">
        <v>21700</v>
      </c>
      <c r="G1948" s="12">
        <v>21700</v>
      </c>
      <c r="H1948" s="11" t="str">
        <f t="shared" si="64"/>
        <v>平成4年12月5日</v>
      </c>
      <c r="I1948" s="22">
        <f t="shared" si="65"/>
        <v>33943</v>
      </c>
      <c r="J1948" s="1" t="str">
        <f>"00747641"</f>
        <v>00747641</v>
      </c>
      <c r="K1948" s="1" t="str">
        <f>"３０１　　　　　　　　　　　　　　　　　"</f>
        <v>３０１　　　　　　　　　　　　　　　　　</v>
      </c>
      <c r="L1948" s="1"/>
    </row>
    <row r="1949" spans="1:12" ht="18" customHeight="1" x14ac:dyDescent="0.15">
      <c r="A1949" s="1">
        <v>5204</v>
      </c>
      <c r="B1949" s="11" t="s">
        <v>536</v>
      </c>
      <c r="C1949" s="11" t="s">
        <v>537</v>
      </c>
      <c r="D1949" s="11">
        <v>1</v>
      </c>
      <c r="E1949" s="11" t="s">
        <v>9</v>
      </c>
      <c r="F1949" s="12">
        <v>21700</v>
      </c>
      <c r="G1949" s="12">
        <v>21700</v>
      </c>
      <c r="H1949" s="11" t="str">
        <f t="shared" si="64"/>
        <v>平成4年12月5日</v>
      </c>
      <c r="I1949" s="22">
        <f t="shared" si="65"/>
        <v>33943</v>
      </c>
      <c r="J1949" s="1" t="str">
        <f>"00747642"</f>
        <v>00747642</v>
      </c>
      <c r="K1949" s="1" t="str">
        <f>"３０２　　　　　　　　　　　　　　　　　"</f>
        <v>３０２　　　　　　　　　　　　　　　　　</v>
      </c>
      <c r="L1949" s="1"/>
    </row>
    <row r="1950" spans="1:12" ht="18" customHeight="1" x14ac:dyDescent="0.15">
      <c r="A1950" s="1">
        <v>5205</v>
      </c>
      <c r="B1950" s="11" t="s">
        <v>536</v>
      </c>
      <c r="C1950" s="11" t="s">
        <v>537</v>
      </c>
      <c r="D1950" s="11">
        <v>1</v>
      </c>
      <c r="E1950" s="11" t="s">
        <v>9</v>
      </c>
      <c r="F1950" s="12">
        <v>21700</v>
      </c>
      <c r="G1950" s="12">
        <v>21700</v>
      </c>
      <c r="H1950" s="11" t="str">
        <f t="shared" si="64"/>
        <v>平成4年12月5日</v>
      </c>
      <c r="I1950" s="22">
        <f t="shared" si="65"/>
        <v>33943</v>
      </c>
      <c r="J1950" s="1" t="str">
        <f>"00747645"</f>
        <v>00747645</v>
      </c>
      <c r="K1950" s="1" t="str">
        <f>"３０３　　　　　　　　　　　　　　　　　"</f>
        <v>３０３　　　　　　　　　　　　　　　　　</v>
      </c>
      <c r="L1950" s="1"/>
    </row>
    <row r="1951" spans="1:12" ht="18" customHeight="1" x14ac:dyDescent="0.15">
      <c r="A1951" s="1">
        <v>5206</v>
      </c>
      <c r="B1951" s="11" t="s">
        <v>536</v>
      </c>
      <c r="C1951" s="11" t="s">
        <v>537</v>
      </c>
      <c r="D1951" s="11">
        <v>1</v>
      </c>
      <c r="E1951" s="11" t="s">
        <v>9</v>
      </c>
      <c r="F1951" s="12">
        <v>21700</v>
      </c>
      <c r="G1951" s="12">
        <v>21700</v>
      </c>
      <c r="H1951" s="11" t="str">
        <f t="shared" si="64"/>
        <v>平成4年12月5日</v>
      </c>
      <c r="I1951" s="22">
        <f t="shared" si="65"/>
        <v>33943</v>
      </c>
      <c r="J1951" s="1" t="str">
        <f>"00747647"</f>
        <v>00747647</v>
      </c>
      <c r="K1951" s="1" t="str">
        <f>"３０４　　　　　　　　　　　　　　　　　"</f>
        <v>３０４　　　　　　　　　　　　　　　　　</v>
      </c>
      <c r="L1951" s="1"/>
    </row>
    <row r="1952" spans="1:12" ht="18" customHeight="1" x14ac:dyDescent="0.15">
      <c r="A1952" s="1">
        <v>5207</v>
      </c>
      <c r="B1952" s="11" t="s">
        <v>536</v>
      </c>
      <c r="C1952" s="11" t="s">
        <v>537</v>
      </c>
      <c r="D1952" s="11">
        <v>1</v>
      </c>
      <c r="E1952" s="11" t="s">
        <v>9</v>
      </c>
      <c r="F1952" s="12">
        <v>21700</v>
      </c>
      <c r="G1952" s="12">
        <v>21700</v>
      </c>
      <c r="H1952" s="11" t="str">
        <f t="shared" si="64"/>
        <v>平成4年12月5日</v>
      </c>
      <c r="I1952" s="22">
        <f t="shared" si="65"/>
        <v>33943</v>
      </c>
      <c r="J1952" s="1" t="str">
        <f>"00747648"</f>
        <v>00747648</v>
      </c>
      <c r="K1952" s="1" t="str">
        <f>"３０５　　　　　　　　　　　　　　　　　"</f>
        <v>３０５　　　　　　　　　　　　　　　　　</v>
      </c>
      <c r="L1952" s="1"/>
    </row>
    <row r="1953" spans="1:12" ht="18" customHeight="1" x14ac:dyDescent="0.15">
      <c r="A1953" s="1">
        <v>5208</v>
      </c>
      <c r="B1953" s="11" t="s">
        <v>536</v>
      </c>
      <c r="C1953" s="11" t="s">
        <v>537</v>
      </c>
      <c r="D1953" s="11">
        <v>1</v>
      </c>
      <c r="E1953" s="11" t="s">
        <v>9</v>
      </c>
      <c r="F1953" s="12">
        <v>21700</v>
      </c>
      <c r="G1953" s="12">
        <v>21700</v>
      </c>
      <c r="H1953" s="11" t="str">
        <f t="shared" si="64"/>
        <v>平成4年12月5日</v>
      </c>
      <c r="I1953" s="22">
        <f t="shared" si="65"/>
        <v>33943</v>
      </c>
      <c r="J1953" s="1" t="str">
        <f>"00747651"</f>
        <v>00747651</v>
      </c>
      <c r="K1953" s="1" t="str">
        <f>"３０７　　　　　　　　　　　　　　　　　"</f>
        <v>３０７　　　　　　　　　　　　　　　　　</v>
      </c>
      <c r="L1953" s="1"/>
    </row>
    <row r="1954" spans="1:12" ht="18" customHeight="1" x14ac:dyDescent="0.15">
      <c r="A1954" s="1">
        <v>5209</v>
      </c>
      <c r="B1954" s="11" t="s">
        <v>536</v>
      </c>
      <c r="C1954" s="11" t="s">
        <v>537</v>
      </c>
      <c r="D1954" s="11">
        <v>1</v>
      </c>
      <c r="E1954" s="11" t="s">
        <v>9</v>
      </c>
      <c r="F1954" s="12">
        <v>21700</v>
      </c>
      <c r="G1954" s="12">
        <v>21700</v>
      </c>
      <c r="H1954" s="11" t="str">
        <f t="shared" si="64"/>
        <v>平成4年12月5日</v>
      </c>
      <c r="I1954" s="22">
        <f t="shared" si="65"/>
        <v>33943</v>
      </c>
      <c r="J1954" s="1" t="str">
        <f>"00747653"</f>
        <v>00747653</v>
      </c>
      <c r="K1954" s="1" t="str">
        <f>"３０８　　　　　　　　　　　　　　　　　"</f>
        <v>３０８　　　　　　　　　　　　　　　　　</v>
      </c>
      <c r="L1954" s="1"/>
    </row>
    <row r="1955" spans="1:12" ht="18" customHeight="1" x14ac:dyDescent="0.15">
      <c r="A1955" s="1">
        <v>5210</v>
      </c>
      <c r="B1955" s="11" t="s">
        <v>536</v>
      </c>
      <c r="C1955" s="11" t="s">
        <v>537</v>
      </c>
      <c r="D1955" s="11">
        <v>1</v>
      </c>
      <c r="E1955" s="11" t="s">
        <v>9</v>
      </c>
      <c r="F1955" s="12">
        <v>21700</v>
      </c>
      <c r="G1955" s="12">
        <v>21700</v>
      </c>
      <c r="H1955" s="11" t="str">
        <f t="shared" si="64"/>
        <v>平成4年12月5日</v>
      </c>
      <c r="I1955" s="22">
        <f t="shared" si="65"/>
        <v>33943</v>
      </c>
      <c r="J1955" s="1" t="str">
        <f>"00747654"</f>
        <v>00747654</v>
      </c>
      <c r="K1955" s="1" t="str">
        <f>"３０９　　　　　　　　　　　　　　　　　"</f>
        <v>３０９　　　　　　　　　　　　　　　　　</v>
      </c>
      <c r="L1955" s="1"/>
    </row>
    <row r="1956" spans="1:12" ht="18" customHeight="1" x14ac:dyDescent="0.15">
      <c r="A1956" s="1">
        <v>5211</v>
      </c>
      <c r="B1956" s="11" t="s">
        <v>536</v>
      </c>
      <c r="C1956" s="11" t="s">
        <v>537</v>
      </c>
      <c r="D1956" s="11">
        <v>1</v>
      </c>
      <c r="E1956" s="11" t="s">
        <v>9</v>
      </c>
      <c r="F1956" s="12">
        <v>21700</v>
      </c>
      <c r="G1956" s="12">
        <v>21700</v>
      </c>
      <c r="H1956" s="11" t="str">
        <f t="shared" si="64"/>
        <v>平成4年12月5日</v>
      </c>
      <c r="I1956" s="22">
        <f t="shared" si="65"/>
        <v>33943</v>
      </c>
      <c r="J1956" s="1" t="str">
        <f>"00747656"</f>
        <v>00747656</v>
      </c>
      <c r="K1956" s="1" t="str">
        <f>"３１０　　　　　　　　　　　　　　　　　"</f>
        <v>３１０　　　　　　　　　　　　　　　　　</v>
      </c>
      <c r="L1956" s="1"/>
    </row>
    <row r="1957" spans="1:12" ht="18" customHeight="1" x14ac:dyDescent="0.15">
      <c r="A1957" s="1">
        <v>5212</v>
      </c>
      <c r="B1957" s="11" t="s">
        <v>536</v>
      </c>
      <c r="C1957" s="11" t="s">
        <v>537</v>
      </c>
      <c r="D1957" s="11">
        <v>1</v>
      </c>
      <c r="E1957" s="11" t="s">
        <v>9</v>
      </c>
      <c r="F1957" s="12">
        <v>21700</v>
      </c>
      <c r="G1957" s="12">
        <v>21700</v>
      </c>
      <c r="H1957" s="11" t="str">
        <f t="shared" si="64"/>
        <v>平成4年12月5日</v>
      </c>
      <c r="I1957" s="22">
        <f t="shared" si="65"/>
        <v>33943</v>
      </c>
      <c r="J1957" s="1" t="str">
        <f>"00747659"</f>
        <v>00747659</v>
      </c>
      <c r="K1957" s="1" t="str">
        <f>"３１１　　　　　　　　　　　　　　　　　"</f>
        <v>３１１　　　　　　　　　　　　　　　　　</v>
      </c>
      <c r="L1957" s="1"/>
    </row>
    <row r="1958" spans="1:12" ht="18" customHeight="1" x14ac:dyDescent="0.15">
      <c r="A1958" s="1">
        <v>5213</v>
      </c>
      <c r="B1958" s="11" t="s">
        <v>536</v>
      </c>
      <c r="C1958" s="11" t="s">
        <v>537</v>
      </c>
      <c r="D1958" s="11">
        <v>1</v>
      </c>
      <c r="E1958" s="11" t="s">
        <v>9</v>
      </c>
      <c r="F1958" s="12">
        <v>21700</v>
      </c>
      <c r="G1958" s="12">
        <v>21700</v>
      </c>
      <c r="H1958" s="11" t="str">
        <f t="shared" si="64"/>
        <v>平成4年12月5日</v>
      </c>
      <c r="I1958" s="22">
        <f t="shared" si="65"/>
        <v>33943</v>
      </c>
      <c r="J1958" s="1" t="str">
        <f>"00747661"</f>
        <v>00747661</v>
      </c>
      <c r="K1958" s="1" t="str">
        <f>"３１３　　　　　　　　　　　　　　　　　"</f>
        <v>３１３　　　　　　　　　　　　　　　　　</v>
      </c>
      <c r="L1958" s="1"/>
    </row>
    <row r="1959" spans="1:12" ht="18" customHeight="1" x14ac:dyDescent="0.15">
      <c r="A1959" s="1">
        <v>5214</v>
      </c>
      <c r="B1959" s="11" t="s">
        <v>536</v>
      </c>
      <c r="C1959" s="11" t="s">
        <v>537</v>
      </c>
      <c r="D1959" s="11">
        <v>1</v>
      </c>
      <c r="E1959" s="11" t="s">
        <v>9</v>
      </c>
      <c r="F1959" s="12">
        <v>21700</v>
      </c>
      <c r="G1959" s="12">
        <v>21700</v>
      </c>
      <c r="H1959" s="11" t="str">
        <f t="shared" si="64"/>
        <v>平成4年12月5日</v>
      </c>
      <c r="I1959" s="22">
        <f t="shared" si="65"/>
        <v>33943</v>
      </c>
      <c r="J1959" s="1" t="str">
        <f>"00747662"</f>
        <v>00747662</v>
      </c>
      <c r="K1959" s="1" t="str">
        <f>"３１４　　　　　　　　　　　　　　　　　"</f>
        <v>３１４　　　　　　　　　　　　　　　　　</v>
      </c>
      <c r="L1959" s="1"/>
    </row>
    <row r="1960" spans="1:12" ht="18" customHeight="1" x14ac:dyDescent="0.15">
      <c r="A1960" s="1">
        <v>5215</v>
      </c>
      <c r="B1960" s="11" t="s">
        <v>536</v>
      </c>
      <c r="C1960" s="11" t="s">
        <v>537</v>
      </c>
      <c r="D1960" s="11">
        <v>1</v>
      </c>
      <c r="E1960" s="11" t="s">
        <v>9</v>
      </c>
      <c r="F1960" s="12">
        <v>21700</v>
      </c>
      <c r="G1960" s="12">
        <v>21700</v>
      </c>
      <c r="H1960" s="11" t="str">
        <f t="shared" si="64"/>
        <v>平成4年12月5日</v>
      </c>
      <c r="I1960" s="22">
        <f t="shared" si="65"/>
        <v>33943</v>
      </c>
      <c r="J1960" s="1" t="str">
        <f>"00747665"</f>
        <v>00747665</v>
      </c>
      <c r="K1960" s="1" t="str">
        <f>"３１５　　　　　　　　　　　　　　　　　"</f>
        <v>３１５　　　　　　　　　　　　　　　　　</v>
      </c>
      <c r="L1960" s="1"/>
    </row>
    <row r="1961" spans="1:12" ht="18" customHeight="1" x14ac:dyDescent="0.15">
      <c r="A1961" s="1">
        <v>5216</v>
      </c>
      <c r="B1961" s="11" t="s">
        <v>536</v>
      </c>
      <c r="C1961" s="11" t="s">
        <v>537</v>
      </c>
      <c r="D1961" s="11">
        <v>1</v>
      </c>
      <c r="E1961" s="11" t="s">
        <v>9</v>
      </c>
      <c r="F1961" s="12">
        <v>21700</v>
      </c>
      <c r="G1961" s="12">
        <v>21700</v>
      </c>
      <c r="H1961" s="11" t="str">
        <f t="shared" si="64"/>
        <v>平成4年12月5日</v>
      </c>
      <c r="I1961" s="22">
        <f t="shared" si="65"/>
        <v>33943</v>
      </c>
      <c r="J1961" s="1" t="str">
        <f>"00747667"</f>
        <v>00747667</v>
      </c>
      <c r="K1961" s="1" t="str">
        <f>"３１６　　　　　　　　　　　　　　　　　"</f>
        <v>３１６　　　　　　　　　　　　　　　　　</v>
      </c>
      <c r="L1961" s="1"/>
    </row>
    <row r="1962" spans="1:12" ht="18" customHeight="1" x14ac:dyDescent="0.15">
      <c r="A1962" s="1">
        <v>5217</v>
      </c>
      <c r="B1962" s="11" t="s">
        <v>536</v>
      </c>
      <c r="C1962" s="11" t="s">
        <v>537</v>
      </c>
      <c r="D1962" s="11">
        <v>1</v>
      </c>
      <c r="E1962" s="11" t="s">
        <v>9</v>
      </c>
      <c r="F1962" s="12">
        <v>21700</v>
      </c>
      <c r="G1962" s="12">
        <v>21700</v>
      </c>
      <c r="H1962" s="11" t="str">
        <f t="shared" si="64"/>
        <v>平成4年12月5日</v>
      </c>
      <c r="I1962" s="22">
        <f t="shared" si="65"/>
        <v>33943</v>
      </c>
      <c r="J1962" s="1" t="str">
        <f>"00747669"</f>
        <v>00747669</v>
      </c>
      <c r="K1962" s="1" t="str">
        <f>"３１７　　　　　　　　　　　　　　　　　"</f>
        <v>３１７　　　　　　　　　　　　　　　　　</v>
      </c>
      <c r="L1962" s="1"/>
    </row>
    <row r="1963" spans="1:12" ht="18" customHeight="1" x14ac:dyDescent="0.15">
      <c r="A1963" s="1">
        <v>5218</v>
      </c>
      <c r="B1963" s="11" t="s">
        <v>536</v>
      </c>
      <c r="C1963" s="11" t="s">
        <v>537</v>
      </c>
      <c r="D1963" s="11">
        <v>1</v>
      </c>
      <c r="E1963" s="11" t="s">
        <v>9</v>
      </c>
      <c r="F1963" s="12">
        <v>21700</v>
      </c>
      <c r="G1963" s="12">
        <v>21700</v>
      </c>
      <c r="H1963" s="11" t="str">
        <f t="shared" si="64"/>
        <v>平成4年12月5日</v>
      </c>
      <c r="I1963" s="22">
        <f t="shared" si="65"/>
        <v>33943</v>
      </c>
      <c r="J1963" s="1" t="str">
        <f>"00747671"</f>
        <v>00747671</v>
      </c>
      <c r="K1963" s="1" t="str">
        <f>"３１８　　　　　　　　　　　　　　　　　"</f>
        <v>３１８　　　　　　　　　　　　　　　　　</v>
      </c>
      <c r="L1963" s="1"/>
    </row>
    <row r="1964" spans="1:12" ht="18" customHeight="1" x14ac:dyDescent="0.15">
      <c r="A1964" s="1">
        <v>5219</v>
      </c>
      <c r="B1964" s="11" t="s">
        <v>536</v>
      </c>
      <c r="C1964" s="11" t="s">
        <v>537</v>
      </c>
      <c r="D1964" s="11">
        <v>1</v>
      </c>
      <c r="E1964" s="11" t="s">
        <v>9</v>
      </c>
      <c r="F1964" s="12">
        <v>21700</v>
      </c>
      <c r="G1964" s="12">
        <v>21700</v>
      </c>
      <c r="H1964" s="11" t="str">
        <f t="shared" si="64"/>
        <v>平成4年12月5日</v>
      </c>
      <c r="I1964" s="22">
        <f t="shared" si="65"/>
        <v>33943</v>
      </c>
      <c r="J1964" s="1" t="str">
        <f>"00747673"</f>
        <v>00747673</v>
      </c>
      <c r="K1964" s="1" t="str">
        <f>"３１９　　　　　　　　　　　　　　　　　"</f>
        <v>３１９　　　　　　　　　　　　　　　　　</v>
      </c>
      <c r="L1964" s="1"/>
    </row>
    <row r="1965" spans="1:12" ht="18" customHeight="1" x14ac:dyDescent="0.15">
      <c r="A1965" s="1">
        <v>5220</v>
      </c>
      <c r="B1965" s="11" t="s">
        <v>536</v>
      </c>
      <c r="C1965" s="11" t="s">
        <v>537</v>
      </c>
      <c r="D1965" s="11">
        <v>1</v>
      </c>
      <c r="E1965" s="11" t="s">
        <v>9</v>
      </c>
      <c r="F1965" s="12">
        <v>21700</v>
      </c>
      <c r="G1965" s="12">
        <v>21700</v>
      </c>
      <c r="H1965" s="11" t="str">
        <f t="shared" si="64"/>
        <v>平成4年12月5日</v>
      </c>
      <c r="I1965" s="22">
        <f t="shared" si="65"/>
        <v>33943</v>
      </c>
      <c r="J1965" s="1" t="str">
        <f>"00747675"</f>
        <v>00747675</v>
      </c>
      <c r="K1965" s="1" t="str">
        <f>"３２０　　　　　　　　　　　　　　　　　"</f>
        <v>３２０　　　　　　　　　　　　　　　　　</v>
      </c>
      <c r="L1965" s="1"/>
    </row>
    <row r="1966" spans="1:12" ht="18" customHeight="1" x14ac:dyDescent="0.15">
      <c r="A1966" s="1">
        <v>5221</v>
      </c>
      <c r="B1966" s="11" t="s">
        <v>536</v>
      </c>
      <c r="C1966" s="11" t="s">
        <v>537</v>
      </c>
      <c r="D1966" s="11">
        <v>1</v>
      </c>
      <c r="E1966" s="11" t="s">
        <v>9</v>
      </c>
      <c r="F1966" s="12">
        <v>21700</v>
      </c>
      <c r="G1966" s="12">
        <v>21700</v>
      </c>
      <c r="H1966" s="11" t="str">
        <f t="shared" ref="H1966:H2029" si="66">"平成4年12月5日"</f>
        <v>平成4年12月5日</v>
      </c>
      <c r="I1966" s="22">
        <f t="shared" si="65"/>
        <v>33943</v>
      </c>
      <c r="J1966" s="1" t="str">
        <f>"00747677"</f>
        <v>00747677</v>
      </c>
      <c r="K1966" s="1" t="str">
        <f>"３２１　　　　　　　　　　　　　　　　　"</f>
        <v>３２１　　　　　　　　　　　　　　　　　</v>
      </c>
      <c r="L1966" s="1"/>
    </row>
    <row r="1967" spans="1:12" ht="18" customHeight="1" x14ac:dyDescent="0.15">
      <c r="A1967" s="1">
        <v>5222</v>
      </c>
      <c r="B1967" s="11" t="s">
        <v>536</v>
      </c>
      <c r="C1967" s="11" t="s">
        <v>537</v>
      </c>
      <c r="D1967" s="11">
        <v>1</v>
      </c>
      <c r="E1967" s="11" t="s">
        <v>9</v>
      </c>
      <c r="F1967" s="12">
        <v>21700</v>
      </c>
      <c r="G1967" s="12">
        <v>21700</v>
      </c>
      <c r="H1967" s="11" t="str">
        <f t="shared" si="66"/>
        <v>平成4年12月5日</v>
      </c>
      <c r="I1967" s="22">
        <f t="shared" si="65"/>
        <v>33943</v>
      </c>
      <c r="J1967" s="1" t="str">
        <f>"00747679"</f>
        <v>00747679</v>
      </c>
      <c r="K1967" s="1" t="str">
        <f>"３２２　　　　　　　　　　　　　　　　　"</f>
        <v>３２２　　　　　　　　　　　　　　　　　</v>
      </c>
      <c r="L1967" s="1"/>
    </row>
    <row r="1968" spans="1:12" ht="18" customHeight="1" x14ac:dyDescent="0.15">
      <c r="A1968" s="1">
        <v>5223</v>
      </c>
      <c r="B1968" s="11" t="s">
        <v>536</v>
      </c>
      <c r="C1968" s="11" t="s">
        <v>537</v>
      </c>
      <c r="D1968" s="11">
        <v>1</v>
      </c>
      <c r="E1968" s="11" t="s">
        <v>9</v>
      </c>
      <c r="F1968" s="12">
        <v>21700</v>
      </c>
      <c r="G1968" s="12">
        <v>21700</v>
      </c>
      <c r="H1968" s="11" t="str">
        <f t="shared" si="66"/>
        <v>平成4年12月5日</v>
      </c>
      <c r="I1968" s="22">
        <f t="shared" si="65"/>
        <v>33943</v>
      </c>
      <c r="J1968" s="1" t="str">
        <f>"00747681"</f>
        <v>00747681</v>
      </c>
      <c r="K1968" s="1" t="str">
        <f>"３２３　　　　　　　　　　　　　　　　　"</f>
        <v>３２３　　　　　　　　　　　　　　　　　</v>
      </c>
      <c r="L1968" s="1"/>
    </row>
    <row r="1969" spans="1:12" ht="18" customHeight="1" x14ac:dyDescent="0.15">
      <c r="A1969" s="1">
        <v>5224</v>
      </c>
      <c r="B1969" s="11" t="s">
        <v>536</v>
      </c>
      <c r="C1969" s="11" t="s">
        <v>537</v>
      </c>
      <c r="D1969" s="11">
        <v>1</v>
      </c>
      <c r="E1969" s="11" t="s">
        <v>9</v>
      </c>
      <c r="F1969" s="12">
        <v>21700</v>
      </c>
      <c r="G1969" s="12">
        <v>21700</v>
      </c>
      <c r="H1969" s="11" t="str">
        <f t="shared" si="66"/>
        <v>平成4年12月5日</v>
      </c>
      <c r="I1969" s="22">
        <f t="shared" si="65"/>
        <v>33943</v>
      </c>
      <c r="J1969" s="1" t="str">
        <f>"00747683"</f>
        <v>00747683</v>
      </c>
      <c r="K1969" s="1" t="str">
        <f>"３２４　　　　　　　　　　　　　　　　　"</f>
        <v>３２４　　　　　　　　　　　　　　　　　</v>
      </c>
      <c r="L1969" s="1"/>
    </row>
    <row r="1970" spans="1:12" ht="18" customHeight="1" x14ac:dyDescent="0.15">
      <c r="A1970" s="1">
        <v>5225</v>
      </c>
      <c r="B1970" s="11" t="s">
        <v>536</v>
      </c>
      <c r="C1970" s="11" t="s">
        <v>537</v>
      </c>
      <c r="D1970" s="11">
        <v>1</v>
      </c>
      <c r="E1970" s="11" t="s">
        <v>9</v>
      </c>
      <c r="F1970" s="12">
        <v>21700</v>
      </c>
      <c r="G1970" s="12">
        <v>21700</v>
      </c>
      <c r="H1970" s="11" t="str">
        <f t="shared" si="66"/>
        <v>平成4年12月5日</v>
      </c>
      <c r="I1970" s="22">
        <f t="shared" si="65"/>
        <v>33943</v>
      </c>
      <c r="J1970" s="1" t="str">
        <f>"00747685"</f>
        <v>00747685</v>
      </c>
      <c r="K1970" s="1" t="str">
        <f>"３２５　　　　　　　　　　　　　　　　　"</f>
        <v>３２５　　　　　　　　　　　　　　　　　</v>
      </c>
      <c r="L1970" s="1"/>
    </row>
    <row r="1971" spans="1:12" ht="18" customHeight="1" x14ac:dyDescent="0.15">
      <c r="A1971" s="1">
        <v>5226</v>
      </c>
      <c r="B1971" s="11" t="s">
        <v>536</v>
      </c>
      <c r="C1971" s="11" t="s">
        <v>537</v>
      </c>
      <c r="D1971" s="11">
        <v>1</v>
      </c>
      <c r="E1971" s="11" t="s">
        <v>9</v>
      </c>
      <c r="F1971" s="12">
        <v>21700</v>
      </c>
      <c r="G1971" s="12">
        <v>21700</v>
      </c>
      <c r="H1971" s="11" t="str">
        <f t="shared" si="66"/>
        <v>平成4年12月5日</v>
      </c>
      <c r="I1971" s="22">
        <f t="shared" si="65"/>
        <v>33943</v>
      </c>
      <c r="J1971" s="1" t="str">
        <f>"00747687"</f>
        <v>00747687</v>
      </c>
      <c r="K1971" s="1" t="str">
        <f>"３２６　　　　　　　　　　　　　　　　　"</f>
        <v>３２６　　　　　　　　　　　　　　　　　</v>
      </c>
      <c r="L1971" s="1"/>
    </row>
    <row r="1972" spans="1:12" ht="18" customHeight="1" x14ac:dyDescent="0.15">
      <c r="A1972" s="1">
        <v>5227</v>
      </c>
      <c r="B1972" s="11" t="s">
        <v>536</v>
      </c>
      <c r="C1972" s="11" t="s">
        <v>537</v>
      </c>
      <c r="D1972" s="11">
        <v>1</v>
      </c>
      <c r="E1972" s="11" t="s">
        <v>9</v>
      </c>
      <c r="F1972" s="12">
        <v>21700</v>
      </c>
      <c r="G1972" s="12">
        <v>21700</v>
      </c>
      <c r="H1972" s="11" t="str">
        <f t="shared" si="66"/>
        <v>平成4年12月5日</v>
      </c>
      <c r="I1972" s="22">
        <f t="shared" si="65"/>
        <v>33943</v>
      </c>
      <c r="J1972" s="1" t="str">
        <f>"00747689"</f>
        <v>00747689</v>
      </c>
      <c r="K1972" s="1" t="str">
        <f>"３２７　　　　　　　　　　　　　　　　　"</f>
        <v>３２７　　　　　　　　　　　　　　　　　</v>
      </c>
      <c r="L1972" s="1"/>
    </row>
    <row r="1973" spans="1:12" ht="18" customHeight="1" x14ac:dyDescent="0.15">
      <c r="A1973" s="1">
        <v>5228</v>
      </c>
      <c r="B1973" s="11" t="s">
        <v>536</v>
      </c>
      <c r="C1973" s="11" t="s">
        <v>537</v>
      </c>
      <c r="D1973" s="11">
        <v>1</v>
      </c>
      <c r="E1973" s="11" t="s">
        <v>9</v>
      </c>
      <c r="F1973" s="12">
        <v>21700</v>
      </c>
      <c r="G1973" s="12">
        <v>21700</v>
      </c>
      <c r="H1973" s="11" t="str">
        <f t="shared" si="66"/>
        <v>平成4年12月5日</v>
      </c>
      <c r="I1973" s="22">
        <f t="shared" si="65"/>
        <v>33943</v>
      </c>
      <c r="J1973" s="1" t="str">
        <f>"00747691"</f>
        <v>00747691</v>
      </c>
      <c r="K1973" s="1" t="str">
        <f>"３２８　　　　　　　　　　　　　　　　　"</f>
        <v>３２８　　　　　　　　　　　　　　　　　</v>
      </c>
      <c r="L1973" s="1"/>
    </row>
    <row r="1974" spans="1:12" ht="18" customHeight="1" x14ac:dyDescent="0.15">
      <c r="A1974" s="1">
        <v>5229</v>
      </c>
      <c r="B1974" s="11" t="s">
        <v>536</v>
      </c>
      <c r="C1974" s="11" t="s">
        <v>537</v>
      </c>
      <c r="D1974" s="11">
        <v>1</v>
      </c>
      <c r="E1974" s="11" t="s">
        <v>9</v>
      </c>
      <c r="F1974" s="12">
        <v>21700</v>
      </c>
      <c r="G1974" s="12">
        <v>21700</v>
      </c>
      <c r="H1974" s="11" t="str">
        <f t="shared" si="66"/>
        <v>平成4年12月5日</v>
      </c>
      <c r="I1974" s="22">
        <f t="shared" si="65"/>
        <v>33943</v>
      </c>
      <c r="J1974" s="1" t="str">
        <f>"00747693"</f>
        <v>00747693</v>
      </c>
      <c r="K1974" s="1" t="str">
        <f>"３２９　　　　　　　　　　　　　　　　　"</f>
        <v>３２９　　　　　　　　　　　　　　　　　</v>
      </c>
      <c r="L1974" s="1"/>
    </row>
    <row r="1975" spans="1:12" ht="18" customHeight="1" x14ac:dyDescent="0.15">
      <c r="A1975" s="1">
        <v>5230</v>
      </c>
      <c r="B1975" s="11" t="s">
        <v>536</v>
      </c>
      <c r="C1975" s="11" t="s">
        <v>537</v>
      </c>
      <c r="D1975" s="11">
        <v>1</v>
      </c>
      <c r="E1975" s="11" t="s">
        <v>9</v>
      </c>
      <c r="F1975" s="12">
        <v>21700</v>
      </c>
      <c r="G1975" s="12">
        <v>21700</v>
      </c>
      <c r="H1975" s="11" t="str">
        <f t="shared" si="66"/>
        <v>平成4年12月5日</v>
      </c>
      <c r="I1975" s="22">
        <f t="shared" si="65"/>
        <v>33943</v>
      </c>
      <c r="J1975" s="1" t="str">
        <f>"00747695"</f>
        <v>00747695</v>
      </c>
      <c r="K1975" s="1" t="str">
        <f>"３３０　　　　　　　　　　　　　　　　　"</f>
        <v>３３０　　　　　　　　　　　　　　　　　</v>
      </c>
      <c r="L1975" s="1"/>
    </row>
    <row r="1976" spans="1:12" ht="18" customHeight="1" x14ac:dyDescent="0.15">
      <c r="A1976" s="1">
        <v>5231</v>
      </c>
      <c r="B1976" s="11" t="s">
        <v>536</v>
      </c>
      <c r="C1976" s="11" t="s">
        <v>537</v>
      </c>
      <c r="D1976" s="11">
        <v>1</v>
      </c>
      <c r="E1976" s="11" t="s">
        <v>9</v>
      </c>
      <c r="F1976" s="12">
        <v>21700</v>
      </c>
      <c r="G1976" s="12">
        <v>21700</v>
      </c>
      <c r="H1976" s="11" t="str">
        <f t="shared" si="66"/>
        <v>平成4年12月5日</v>
      </c>
      <c r="I1976" s="22">
        <f t="shared" si="65"/>
        <v>33943</v>
      </c>
      <c r="J1976" s="1" t="str">
        <f>"00747697"</f>
        <v>00747697</v>
      </c>
      <c r="K1976" s="1" t="str">
        <f>"３３１　　　　　　　　　　　　　　　　　"</f>
        <v>３３１　　　　　　　　　　　　　　　　　</v>
      </c>
      <c r="L1976" s="1"/>
    </row>
    <row r="1977" spans="1:12" ht="18" customHeight="1" x14ac:dyDescent="0.15">
      <c r="A1977" s="1">
        <v>5232</v>
      </c>
      <c r="B1977" s="11" t="s">
        <v>536</v>
      </c>
      <c r="C1977" s="11" t="s">
        <v>537</v>
      </c>
      <c r="D1977" s="11">
        <v>1</v>
      </c>
      <c r="E1977" s="11" t="s">
        <v>9</v>
      </c>
      <c r="F1977" s="12">
        <v>21700</v>
      </c>
      <c r="G1977" s="12">
        <v>21700</v>
      </c>
      <c r="H1977" s="11" t="str">
        <f t="shared" si="66"/>
        <v>平成4年12月5日</v>
      </c>
      <c r="I1977" s="22">
        <f t="shared" si="65"/>
        <v>33943</v>
      </c>
      <c r="J1977" s="1" t="str">
        <f>"00747699"</f>
        <v>00747699</v>
      </c>
      <c r="K1977" s="1" t="str">
        <f>"３３２　　　　　　　　　　　　　　　　　"</f>
        <v>３３２　　　　　　　　　　　　　　　　　</v>
      </c>
      <c r="L1977" s="1"/>
    </row>
    <row r="1978" spans="1:12" ht="18" customHeight="1" x14ac:dyDescent="0.15">
      <c r="A1978" s="1">
        <v>5233</v>
      </c>
      <c r="B1978" s="11" t="s">
        <v>536</v>
      </c>
      <c r="C1978" s="11" t="s">
        <v>537</v>
      </c>
      <c r="D1978" s="11">
        <v>1</v>
      </c>
      <c r="E1978" s="11" t="s">
        <v>9</v>
      </c>
      <c r="F1978" s="12">
        <v>21700</v>
      </c>
      <c r="G1978" s="12">
        <v>21700</v>
      </c>
      <c r="H1978" s="11" t="str">
        <f t="shared" si="66"/>
        <v>平成4年12月5日</v>
      </c>
      <c r="I1978" s="22">
        <f t="shared" si="65"/>
        <v>33943</v>
      </c>
      <c r="J1978" s="1" t="str">
        <f>"00747701"</f>
        <v>00747701</v>
      </c>
      <c r="K1978" s="1" t="str">
        <f>"３３３　　　　　　　　　　　　　　　　　"</f>
        <v>３３３　　　　　　　　　　　　　　　　　</v>
      </c>
      <c r="L1978" s="1"/>
    </row>
    <row r="1979" spans="1:12" ht="18" customHeight="1" x14ac:dyDescent="0.15">
      <c r="A1979" s="1">
        <v>5234</v>
      </c>
      <c r="B1979" s="11" t="s">
        <v>536</v>
      </c>
      <c r="C1979" s="11" t="s">
        <v>537</v>
      </c>
      <c r="D1979" s="11">
        <v>1</v>
      </c>
      <c r="E1979" s="11" t="s">
        <v>9</v>
      </c>
      <c r="F1979" s="12">
        <v>21700</v>
      </c>
      <c r="G1979" s="12">
        <v>21700</v>
      </c>
      <c r="H1979" s="11" t="str">
        <f t="shared" si="66"/>
        <v>平成4年12月5日</v>
      </c>
      <c r="I1979" s="22">
        <f t="shared" si="65"/>
        <v>33943</v>
      </c>
      <c r="J1979" s="1" t="str">
        <f>"00747703"</f>
        <v>00747703</v>
      </c>
      <c r="K1979" s="1" t="str">
        <f>"３３４　　　　　　　　　　　　　　　　　"</f>
        <v>３３４　　　　　　　　　　　　　　　　　</v>
      </c>
      <c r="L1979" s="1"/>
    </row>
    <row r="1980" spans="1:12" ht="18" customHeight="1" x14ac:dyDescent="0.15">
      <c r="A1980" s="1">
        <v>5235</v>
      </c>
      <c r="B1980" s="11" t="s">
        <v>536</v>
      </c>
      <c r="C1980" s="11" t="s">
        <v>537</v>
      </c>
      <c r="D1980" s="11">
        <v>1</v>
      </c>
      <c r="E1980" s="11" t="s">
        <v>9</v>
      </c>
      <c r="F1980" s="12">
        <v>21700</v>
      </c>
      <c r="G1980" s="12">
        <v>21700</v>
      </c>
      <c r="H1980" s="11" t="str">
        <f t="shared" si="66"/>
        <v>平成4年12月5日</v>
      </c>
      <c r="I1980" s="22">
        <f t="shared" si="65"/>
        <v>33943</v>
      </c>
      <c r="J1980" s="1" t="str">
        <f>"00747705"</f>
        <v>00747705</v>
      </c>
      <c r="K1980" s="1" t="str">
        <f>"３３５　　　　　　　　　　　　　　　　　"</f>
        <v>３３５　　　　　　　　　　　　　　　　　</v>
      </c>
      <c r="L1980" s="1"/>
    </row>
    <row r="1981" spans="1:12" ht="18" customHeight="1" x14ac:dyDescent="0.15">
      <c r="A1981" s="1">
        <v>5236</v>
      </c>
      <c r="B1981" s="11" t="s">
        <v>536</v>
      </c>
      <c r="C1981" s="11" t="s">
        <v>537</v>
      </c>
      <c r="D1981" s="11">
        <v>1</v>
      </c>
      <c r="E1981" s="11" t="s">
        <v>9</v>
      </c>
      <c r="F1981" s="12">
        <v>21700</v>
      </c>
      <c r="G1981" s="12">
        <v>21700</v>
      </c>
      <c r="H1981" s="11" t="str">
        <f t="shared" si="66"/>
        <v>平成4年12月5日</v>
      </c>
      <c r="I1981" s="22">
        <f t="shared" si="65"/>
        <v>33943</v>
      </c>
      <c r="J1981" s="1" t="str">
        <f>"00747707"</f>
        <v>00747707</v>
      </c>
      <c r="K1981" s="1" t="str">
        <f>"３３６　　　　　　　　　　　　　　　　　"</f>
        <v>３３６　　　　　　　　　　　　　　　　　</v>
      </c>
      <c r="L1981" s="1"/>
    </row>
    <row r="1982" spans="1:12" ht="18" customHeight="1" x14ac:dyDescent="0.15">
      <c r="A1982" s="1">
        <v>5237</v>
      </c>
      <c r="B1982" s="11" t="s">
        <v>536</v>
      </c>
      <c r="C1982" s="11" t="s">
        <v>537</v>
      </c>
      <c r="D1982" s="11">
        <v>1</v>
      </c>
      <c r="E1982" s="11" t="s">
        <v>9</v>
      </c>
      <c r="F1982" s="12">
        <v>21700</v>
      </c>
      <c r="G1982" s="12">
        <v>21700</v>
      </c>
      <c r="H1982" s="11" t="str">
        <f t="shared" si="66"/>
        <v>平成4年12月5日</v>
      </c>
      <c r="I1982" s="22">
        <f t="shared" si="65"/>
        <v>33943</v>
      </c>
      <c r="J1982" s="1" t="str">
        <f>"00747709"</f>
        <v>00747709</v>
      </c>
      <c r="K1982" s="1" t="str">
        <f>"３３７　　　　　　　　　　　　　　　　　"</f>
        <v>３３７　　　　　　　　　　　　　　　　　</v>
      </c>
      <c r="L1982" s="1"/>
    </row>
    <row r="1983" spans="1:12" ht="18" customHeight="1" x14ac:dyDescent="0.15">
      <c r="A1983" s="1">
        <v>5238</v>
      </c>
      <c r="B1983" s="11" t="s">
        <v>536</v>
      </c>
      <c r="C1983" s="11" t="s">
        <v>537</v>
      </c>
      <c r="D1983" s="11">
        <v>1</v>
      </c>
      <c r="E1983" s="11" t="s">
        <v>9</v>
      </c>
      <c r="F1983" s="12">
        <v>21700</v>
      </c>
      <c r="G1983" s="12">
        <v>21700</v>
      </c>
      <c r="H1983" s="11" t="str">
        <f t="shared" si="66"/>
        <v>平成4年12月5日</v>
      </c>
      <c r="I1983" s="22">
        <f t="shared" si="65"/>
        <v>33943</v>
      </c>
      <c r="J1983" s="1" t="str">
        <f>"00747711"</f>
        <v>00747711</v>
      </c>
      <c r="K1983" s="1" t="str">
        <f>"３３８　　　　　　　　　　　　　　　　　"</f>
        <v>３３８　　　　　　　　　　　　　　　　　</v>
      </c>
      <c r="L1983" s="1"/>
    </row>
    <row r="1984" spans="1:12" ht="18" customHeight="1" x14ac:dyDescent="0.15">
      <c r="A1984" s="1">
        <v>5239</v>
      </c>
      <c r="B1984" s="11" t="s">
        <v>536</v>
      </c>
      <c r="C1984" s="11" t="s">
        <v>537</v>
      </c>
      <c r="D1984" s="11">
        <v>1</v>
      </c>
      <c r="E1984" s="11" t="s">
        <v>9</v>
      </c>
      <c r="F1984" s="12">
        <v>21700</v>
      </c>
      <c r="G1984" s="12">
        <v>21700</v>
      </c>
      <c r="H1984" s="11" t="str">
        <f t="shared" si="66"/>
        <v>平成4年12月5日</v>
      </c>
      <c r="I1984" s="22">
        <f t="shared" si="65"/>
        <v>33943</v>
      </c>
      <c r="J1984" s="1" t="str">
        <f>"00747713"</f>
        <v>00747713</v>
      </c>
      <c r="K1984" s="1" t="str">
        <f>"３３９　　　　　　　　　　　　　　　　　"</f>
        <v>３３９　　　　　　　　　　　　　　　　　</v>
      </c>
      <c r="L1984" s="1"/>
    </row>
    <row r="1985" spans="1:12" ht="18" customHeight="1" x14ac:dyDescent="0.15">
      <c r="A1985" s="1">
        <v>5240</v>
      </c>
      <c r="B1985" s="11" t="s">
        <v>536</v>
      </c>
      <c r="C1985" s="11" t="s">
        <v>537</v>
      </c>
      <c r="D1985" s="11">
        <v>1</v>
      </c>
      <c r="E1985" s="11" t="s">
        <v>9</v>
      </c>
      <c r="F1985" s="12">
        <v>21700</v>
      </c>
      <c r="G1985" s="12">
        <v>21700</v>
      </c>
      <c r="H1985" s="11" t="str">
        <f t="shared" si="66"/>
        <v>平成4年12月5日</v>
      </c>
      <c r="I1985" s="22">
        <f t="shared" si="65"/>
        <v>33943</v>
      </c>
      <c r="J1985" s="1" t="str">
        <f>"00747715"</f>
        <v>00747715</v>
      </c>
      <c r="K1985" s="1" t="str">
        <f>"３４０　　　　　　　　　　　　　　　　　"</f>
        <v>３４０　　　　　　　　　　　　　　　　　</v>
      </c>
      <c r="L1985" s="1"/>
    </row>
    <row r="1986" spans="1:12" ht="18" customHeight="1" x14ac:dyDescent="0.15">
      <c r="A1986" s="1">
        <v>5241</v>
      </c>
      <c r="B1986" s="11" t="s">
        <v>536</v>
      </c>
      <c r="C1986" s="11" t="s">
        <v>537</v>
      </c>
      <c r="D1986" s="11">
        <v>1</v>
      </c>
      <c r="E1986" s="11" t="s">
        <v>9</v>
      </c>
      <c r="F1986" s="12">
        <v>21700</v>
      </c>
      <c r="G1986" s="12">
        <v>21700</v>
      </c>
      <c r="H1986" s="11" t="str">
        <f t="shared" si="66"/>
        <v>平成4年12月5日</v>
      </c>
      <c r="I1986" s="22">
        <f t="shared" si="65"/>
        <v>33943</v>
      </c>
      <c r="J1986" s="1" t="str">
        <f>"00747717"</f>
        <v>00747717</v>
      </c>
      <c r="K1986" s="1" t="str">
        <f>"３４１　　　　　　　　　　　　　　　　　"</f>
        <v>３４１　　　　　　　　　　　　　　　　　</v>
      </c>
      <c r="L1986" s="1"/>
    </row>
    <row r="1987" spans="1:12" ht="18" customHeight="1" x14ac:dyDescent="0.15">
      <c r="A1987" s="1">
        <v>5242</v>
      </c>
      <c r="B1987" s="11" t="s">
        <v>536</v>
      </c>
      <c r="C1987" s="11" t="s">
        <v>537</v>
      </c>
      <c r="D1987" s="11">
        <v>1</v>
      </c>
      <c r="E1987" s="11" t="s">
        <v>9</v>
      </c>
      <c r="F1987" s="12">
        <v>21700</v>
      </c>
      <c r="G1987" s="12">
        <v>21700</v>
      </c>
      <c r="H1987" s="11" t="str">
        <f t="shared" si="66"/>
        <v>平成4年12月5日</v>
      </c>
      <c r="I1987" s="22">
        <f t="shared" si="65"/>
        <v>33943</v>
      </c>
      <c r="J1987" s="1" t="str">
        <f>"00747719"</f>
        <v>00747719</v>
      </c>
      <c r="K1987" s="1" t="str">
        <f>"３４３　　　　　　　　　　　　　　　　　"</f>
        <v>３４３　　　　　　　　　　　　　　　　　</v>
      </c>
      <c r="L1987" s="1"/>
    </row>
    <row r="1988" spans="1:12" ht="18" customHeight="1" x14ac:dyDescent="0.15">
      <c r="A1988" s="1">
        <v>5243</v>
      </c>
      <c r="B1988" s="11" t="s">
        <v>536</v>
      </c>
      <c r="C1988" s="11" t="s">
        <v>537</v>
      </c>
      <c r="D1988" s="11">
        <v>1</v>
      </c>
      <c r="E1988" s="11" t="s">
        <v>9</v>
      </c>
      <c r="F1988" s="12">
        <v>21700</v>
      </c>
      <c r="G1988" s="12">
        <v>21700</v>
      </c>
      <c r="H1988" s="11" t="str">
        <f t="shared" si="66"/>
        <v>平成4年12月5日</v>
      </c>
      <c r="I1988" s="22">
        <f t="shared" si="65"/>
        <v>33943</v>
      </c>
      <c r="J1988" s="1" t="str">
        <f>"00747721"</f>
        <v>00747721</v>
      </c>
      <c r="K1988" s="1" t="str">
        <f>"３４４　　　　　　　　　　　　　　　　　"</f>
        <v>３４４　　　　　　　　　　　　　　　　　</v>
      </c>
      <c r="L1988" s="1"/>
    </row>
    <row r="1989" spans="1:12" ht="18" customHeight="1" x14ac:dyDescent="0.15">
      <c r="A1989" s="1">
        <v>5244</v>
      </c>
      <c r="B1989" s="11" t="s">
        <v>536</v>
      </c>
      <c r="C1989" s="11" t="s">
        <v>537</v>
      </c>
      <c r="D1989" s="11">
        <v>1</v>
      </c>
      <c r="E1989" s="11" t="s">
        <v>9</v>
      </c>
      <c r="F1989" s="12">
        <v>21700</v>
      </c>
      <c r="G1989" s="12">
        <v>21700</v>
      </c>
      <c r="H1989" s="11" t="str">
        <f t="shared" si="66"/>
        <v>平成4年12月5日</v>
      </c>
      <c r="I1989" s="22">
        <f t="shared" si="65"/>
        <v>33943</v>
      </c>
      <c r="J1989" s="1" t="str">
        <f>"00747723"</f>
        <v>00747723</v>
      </c>
      <c r="K1989" s="1" t="str">
        <f>"３４５　　　　　　　　　　　　　　　　　"</f>
        <v>３４５　　　　　　　　　　　　　　　　　</v>
      </c>
      <c r="L1989" s="1"/>
    </row>
    <row r="1990" spans="1:12" ht="18" customHeight="1" x14ac:dyDescent="0.15">
      <c r="A1990" s="1">
        <v>5245</v>
      </c>
      <c r="B1990" s="11" t="s">
        <v>536</v>
      </c>
      <c r="C1990" s="11" t="s">
        <v>537</v>
      </c>
      <c r="D1990" s="11">
        <v>1</v>
      </c>
      <c r="E1990" s="11" t="s">
        <v>9</v>
      </c>
      <c r="F1990" s="12">
        <v>21700</v>
      </c>
      <c r="G1990" s="12">
        <v>21700</v>
      </c>
      <c r="H1990" s="11" t="str">
        <f t="shared" si="66"/>
        <v>平成4年12月5日</v>
      </c>
      <c r="I1990" s="22">
        <f t="shared" si="65"/>
        <v>33943</v>
      </c>
      <c r="J1990" s="1" t="str">
        <f>"00747725"</f>
        <v>00747725</v>
      </c>
      <c r="K1990" s="1" t="str">
        <f>"３４７　　　　　　　　　　　　　　　　　"</f>
        <v>３４７　　　　　　　　　　　　　　　　　</v>
      </c>
      <c r="L1990" s="1"/>
    </row>
    <row r="1991" spans="1:12" ht="18" customHeight="1" x14ac:dyDescent="0.15">
      <c r="A1991" s="1">
        <v>5246</v>
      </c>
      <c r="B1991" s="11" t="s">
        <v>536</v>
      </c>
      <c r="C1991" s="11" t="s">
        <v>537</v>
      </c>
      <c r="D1991" s="11">
        <v>1</v>
      </c>
      <c r="E1991" s="11" t="s">
        <v>9</v>
      </c>
      <c r="F1991" s="12">
        <v>21700</v>
      </c>
      <c r="G1991" s="12">
        <v>21700</v>
      </c>
      <c r="H1991" s="11" t="str">
        <f t="shared" si="66"/>
        <v>平成4年12月5日</v>
      </c>
      <c r="I1991" s="22">
        <f t="shared" si="65"/>
        <v>33943</v>
      </c>
      <c r="J1991" s="1" t="str">
        <f>"00747727"</f>
        <v>00747727</v>
      </c>
      <c r="K1991" s="1" t="str">
        <f>"３４８　　　　　　　　　　　　　　　　　"</f>
        <v>３４８　　　　　　　　　　　　　　　　　</v>
      </c>
      <c r="L1991" s="1"/>
    </row>
    <row r="1992" spans="1:12" ht="18" customHeight="1" x14ac:dyDescent="0.15">
      <c r="A1992" s="1">
        <v>5247</v>
      </c>
      <c r="B1992" s="11" t="s">
        <v>536</v>
      </c>
      <c r="C1992" s="11" t="s">
        <v>537</v>
      </c>
      <c r="D1992" s="11">
        <v>1</v>
      </c>
      <c r="E1992" s="11" t="s">
        <v>9</v>
      </c>
      <c r="F1992" s="12">
        <v>21700</v>
      </c>
      <c r="G1992" s="12">
        <v>21700</v>
      </c>
      <c r="H1992" s="11" t="str">
        <f t="shared" si="66"/>
        <v>平成4年12月5日</v>
      </c>
      <c r="I1992" s="22">
        <f t="shared" si="65"/>
        <v>33943</v>
      </c>
      <c r="J1992" s="1" t="str">
        <f>"00747729"</f>
        <v>00747729</v>
      </c>
      <c r="K1992" s="1" t="str">
        <f>"３４９　　　　　　　　　　　　　　　　　"</f>
        <v>３４９　　　　　　　　　　　　　　　　　</v>
      </c>
      <c r="L1992" s="1"/>
    </row>
    <row r="1993" spans="1:12" ht="18" customHeight="1" x14ac:dyDescent="0.15">
      <c r="A1993" s="1">
        <v>5248</v>
      </c>
      <c r="B1993" s="11" t="s">
        <v>536</v>
      </c>
      <c r="C1993" s="11" t="s">
        <v>537</v>
      </c>
      <c r="D1993" s="11">
        <v>1</v>
      </c>
      <c r="E1993" s="11" t="s">
        <v>9</v>
      </c>
      <c r="F1993" s="12">
        <v>21700</v>
      </c>
      <c r="G1993" s="12">
        <v>21700</v>
      </c>
      <c r="H1993" s="11" t="str">
        <f t="shared" si="66"/>
        <v>平成4年12月5日</v>
      </c>
      <c r="I1993" s="22">
        <f t="shared" si="65"/>
        <v>33943</v>
      </c>
      <c r="J1993" s="1" t="str">
        <f>"00747731"</f>
        <v>00747731</v>
      </c>
      <c r="K1993" s="1" t="str">
        <f>"３５０　　　　　　　　　　　　　　　　　"</f>
        <v>３５０　　　　　　　　　　　　　　　　　</v>
      </c>
      <c r="L1993" s="1"/>
    </row>
    <row r="1994" spans="1:12" ht="18" customHeight="1" x14ac:dyDescent="0.15">
      <c r="A1994" s="1">
        <v>5249</v>
      </c>
      <c r="B1994" s="11" t="s">
        <v>536</v>
      </c>
      <c r="C1994" s="11" t="s">
        <v>537</v>
      </c>
      <c r="D1994" s="11">
        <v>1</v>
      </c>
      <c r="E1994" s="11" t="s">
        <v>9</v>
      </c>
      <c r="F1994" s="12">
        <v>21700</v>
      </c>
      <c r="G1994" s="12">
        <v>21700</v>
      </c>
      <c r="H1994" s="11" t="str">
        <f t="shared" si="66"/>
        <v>平成4年12月5日</v>
      </c>
      <c r="I1994" s="22">
        <f t="shared" si="65"/>
        <v>33943</v>
      </c>
      <c r="J1994" s="1" t="str">
        <f>"00747733"</f>
        <v>00747733</v>
      </c>
      <c r="K1994" s="1" t="str">
        <f>"３５１　　　　　　　　　　　　　　　　　"</f>
        <v>３５１　　　　　　　　　　　　　　　　　</v>
      </c>
      <c r="L1994" s="1"/>
    </row>
    <row r="1995" spans="1:12" ht="18" customHeight="1" x14ac:dyDescent="0.15">
      <c r="A1995" s="1">
        <v>5250</v>
      </c>
      <c r="B1995" s="11" t="s">
        <v>536</v>
      </c>
      <c r="C1995" s="11" t="s">
        <v>537</v>
      </c>
      <c r="D1995" s="11">
        <v>1</v>
      </c>
      <c r="E1995" s="11" t="s">
        <v>9</v>
      </c>
      <c r="F1995" s="12">
        <v>21700</v>
      </c>
      <c r="G1995" s="12">
        <v>21700</v>
      </c>
      <c r="H1995" s="11" t="str">
        <f t="shared" si="66"/>
        <v>平成4年12月5日</v>
      </c>
      <c r="I1995" s="22">
        <f t="shared" si="65"/>
        <v>33943</v>
      </c>
      <c r="J1995" s="1" t="str">
        <f>"00747735"</f>
        <v>00747735</v>
      </c>
      <c r="K1995" s="1" t="str">
        <f>"３５２　　　　　　　　　　　　　　　　　"</f>
        <v>３５２　　　　　　　　　　　　　　　　　</v>
      </c>
      <c r="L1995" s="1"/>
    </row>
    <row r="1996" spans="1:12" ht="18" customHeight="1" x14ac:dyDescent="0.15">
      <c r="A1996" s="1">
        <v>5251</v>
      </c>
      <c r="B1996" s="11" t="s">
        <v>536</v>
      </c>
      <c r="C1996" s="11" t="s">
        <v>537</v>
      </c>
      <c r="D1996" s="11">
        <v>1</v>
      </c>
      <c r="E1996" s="11" t="s">
        <v>9</v>
      </c>
      <c r="F1996" s="12">
        <v>21700</v>
      </c>
      <c r="G1996" s="12">
        <v>21700</v>
      </c>
      <c r="H1996" s="11" t="str">
        <f t="shared" si="66"/>
        <v>平成4年12月5日</v>
      </c>
      <c r="I1996" s="22">
        <f t="shared" si="65"/>
        <v>33943</v>
      </c>
      <c r="J1996" s="1" t="str">
        <f>"00747737"</f>
        <v>00747737</v>
      </c>
      <c r="K1996" s="1" t="str">
        <f>"３５３　　　　　　　　　　　　　　　　　"</f>
        <v>３５３　　　　　　　　　　　　　　　　　</v>
      </c>
      <c r="L1996" s="1"/>
    </row>
    <row r="1997" spans="1:12" ht="18" customHeight="1" x14ac:dyDescent="0.15">
      <c r="A1997" s="1">
        <v>5252</v>
      </c>
      <c r="B1997" s="11" t="s">
        <v>536</v>
      </c>
      <c r="C1997" s="11" t="s">
        <v>537</v>
      </c>
      <c r="D1997" s="11">
        <v>1</v>
      </c>
      <c r="E1997" s="11" t="s">
        <v>9</v>
      </c>
      <c r="F1997" s="12">
        <v>21700</v>
      </c>
      <c r="G1997" s="12">
        <v>21700</v>
      </c>
      <c r="H1997" s="11" t="str">
        <f t="shared" si="66"/>
        <v>平成4年12月5日</v>
      </c>
      <c r="I1997" s="22">
        <f t="shared" si="65"/>
        <v>33943</v>
      </c>
      <c r="J1997" s="1" t="str">
        <f>"00747739"</f>
        <v>00747739</v>
      </c>
      <c r="K1997" s="1" t="str">
        <f>"３５４　　　　　　　　　　　　　　　　　"</f>
        <v>３５４　　　　　　　　　　　　　　　　　</v>
      </c>
      <c r="L1997" s="1"/>
    </row>
    <row r="1998" spans="1:12" ht="18" customHeight="1" x14ac:dyDescent="0.15">
      <c r="A1998" s="1">
        <v>5253</v>
      </c>
      <c r="B1998" s="11" t="s">
        <v>536</v>
      </c>
      <c r="C1998" s="11" t="s">
        <v>537</v>
      </c>
      <c r="D1998" s="11">
        <v>1</v>
      </c>
      <c r="E1998" s="11" t="s">
        <v>9</v>
      </c>
      <c r="F1998" s="12">
        <v>21700</v>
      </c>
      <c r="G1998" s="12">
        <v>21700</v>
      </c>
      <c r="H1998" s="11" t="str">
        <f t="shared" si="66"/>
        <v>平成4年12月5日</v>
      </c>
      <c r="I1998" s="22">
        <f t="shared" si="65"/>
        <v>33943</v>
      </c>
      <c r="J1998" s="1" t="str">
        <f>"00747741"</f>
        <v>00747741</v>
      </c>
      <c r="K1998" s="1" t="str">
        <f>"３５５　　　　　　　　　　　　　　　　　"</f>
        <v>３５５　　　　　　　　　　　　　　　　　</v>
      </c>
      <c r="L1998" s="1"/>
    </row>
    <row r="1999" spans="1:12" ht="18" customHeight="1" x14ac:dyDescent="0.15">
      <c r="A1999" s="1">
        <v>5254</v>
      </c>
      <c r="B1999" s="11" t="s">
        <v>536</v>
      </c>
      <c r="C1999" s="11" t="s">
        <v>538</v>
      </c>
      <c r="D1999" s="11">
        <v>1</v>
      </c>
      <c r="E1999" s="11" t="s">
        <v>9</v>
      </c>
      <c r="F1999" s="12">
        <v>26000</v>
      </c>
      <c r="G1999" s="12">
        <v>26000</v>
      </c>
      <c r="H1999" s="11" t="str">
        <f t="shared" si="66"/>
        <v>平成4年12月5日</v>
      </c>
      <c r="I1999" s="22">
        <f t="shared" si="65"/>
        <v>33943</v>
      </c>
      <c r="J1999" s="1" t="str">
        <f>"00747743"</f>
        <v>00747743</v>
      </c>
      <c r="K1999" s="1" t="str">
        <f>"３５６　　　　　　　　　　　　　　　　　"</f>
        <v>３５６　　　　　　　　　　　　　　　　　</v>
      </c>
      <c r="L1999" s="1"/>
    </row>
    <row r="2000" spans="1:12" ht="18" customHeight="1" x14ac:dyDescent="0.15">
      <c r="A2000" s="1">
        <v>5255</v>
      </c>
      <c r="B2000" s="11" t="s">
        <v>536</v>
      </c>
      <c r="C2000" s="11" t="s">
        <v>538</v>
      </c>
      <c r="D2000" s="11">
        <v>1</v>
      </c>
      <c r="E2000" s="11" t="s">
        <v>9</v>
      </c>
      <c r="F2000" s="12">
        <v>26000</v>
      </c>
      <c r="G2000" s="12">
        <v>26000</v>
      </c>
      <c r="H2000" s="11" t="str">
        <f t="shared" si="66"/>
        <v>平成4年12月5日</v>
      </c>
      <c r="I2000" s="22">
        <f t="shared" si="65"/>
        <v>33943</v>
      </c>
      <c r="J2000" s="1" t="str">
        <f>"00747745"</f>
        <v>00747745</v>
      </c>
      <c r="K2000" s="1" t="str">
        <f>"３５７　　　　　　　　　　　　　　　　　"</f>
        <v>３５７　　　　　　　　　　　　　　　　　</v>
      </c>
      <c r="L2000" s="1"/>
    </row>
    <row r="2001" spans="1:12" ht="18" customHeight="1" x14ac:dyDescent="0.15">
      <c r="A2001" s="1">
        <v>5256</v>
      </c>
      <c r="B2001" s="11" t="s">
        <v>536</v>
      </c>
      <c r="C2001" s="11" t="s">
        <v>538</v>
      </c>
      <c r="D2001" s="11">
        <v>1</v>
      </c>
      <c r="E2001" s="11" t="s">
        <v>9</v>
      </c>
      <c r="F2001" s="12">
        <v>26000</v>
      </c>
      <c r="G2001" s="12">
        <v>26000</v>
      </c>
      <c r="H2001" s="11" t="str">
        <f t="shared" si="66"/>
        <v>平成4年12月5日</v>
      </c>
      <c r="I2001" s="22">
        <f t="shared" si="65"/>
        <v>33943</v>
      </c>
      <c r="J2001" s="1" t="str">
        <f>"00747747"</f>
        <v>00747747</v>
      </c>
      <c r="K2001" s="1" t="str">
        <f>"３５８　　　　　　　　　　　　　　　　　"</f>
        <v>３５８　　　　　　　　　　　　　　　　　</v>
      </c>
      <c r="L2001" s="1"/>
    </row>
    <row r="2002" spans="1:12" ht="18" customHeight="1" x14ac:dyDescent="0.15">
      <c r="A2002" s="1">
        <v>5257</v>
      </c>
      <c r="B2002" s="11" t="s">
        <v>536</v>
      </c>
      <c r="C2002" s="11" t="s">
        <v>538</v>
      </c>
      <c r="D2002" s="11">
        <v>1</v>
      </c>
      <c r="E2002" s="11" t="s">
        <v>9</v>
      </c>
      <c r="F2002" s="12">
        <v>26000</v>
      </c>
      <c r="G2002" s="12">
        <v>26000</v>
      </c>
      <c r="H2002" s="11" t="str">
        <f t="shared" si="66"/>
        <v>平成4年12月5日</v>
      </c>
      <c r="I2002" s="22">
        <f t="shared" ref="I2002:I2065" si="67">DATEVALUE(H2002)</f>
        <v>33943</v>
      </c>
      <c r="J2002" s="1" t="str">
        <f>"00747749"</f>
        <v>00747749</v>
      </c>
      <c r="K2002" s="1" t="str">
        <f>"３５９　　　　　　　　　　　　　　　　　"</f>
        <v>３５９　　　　　　　　　　　　　　　　　</v>
      </c>
      <c r="L2002" s="1"/>
    </row>
    <row r="2003" spans="1:12" ht="18" customHeight="1" x14ac:dyDescent="0.15">
      <c r="A2003" s="1">
        <v>5258</v>
      </c>
      <c r="B2003" s="11" t="s">
        <v>536</v>
      </c>
      <c r="C2003" s="11" t="s">
        <v>538</v>
      </c>
      <c r="D2003" s="11">
        <v>1</v>
      </c>
      <c r="E2003" s="11" t="s">
        <v>9</v>
      </c>
      <c r="F2003" s="12">
        <v>26000</v>
      </c>
      <c r="G2003" s="12">
        <v>26000</v>
      </c>
      <c r="H2003" s="11" t="str">
        <f t="shared" si="66"/>
        <v>平成4年12月5日</v>
      </c>
      <c r="I2003" s="22">
        <f t="shared" si="67"/>
        <v>33943</v>
      </c>
      <c r="J2003" s="1" t="str">
        <f>"00747751"</f>
        <v>00747751</v>
      </c>
      <c r="K2003" s="1" t="str">
        <f>"３６０　　　　　　　　　　　　　　　　　"</f>
        <v>３６０　　　　　　　　　　　　　　　　　</v>
      </c>
      <c r="L2003" s="1"/>
    </row>
    <row r="2004" spans="1:12" ht="18" customHeight="1" x14ac:dyDescent="0.15">
      <c r="A2004" s="1">
        <v>5259</v>
      </c>
      <c r="B2004" s="11" t="s">
        <v>536</v>
      </c>
      <c r="C2004" s="11" t="s">
        <v>538</v>
      </c>
      <c r="D2004" s="11">
        <v>1</v>
      </c>
      <c r="E2004" s="11" t="s">
        <v>9</v>
      </c>
      <c r="F2004" s="12">
        <v>26000</v>
      </c>
      <c r="G2004" s="12">
        <v>26000</v>
      </c>
      <c r="H2004" s="11" t="str">
        <f t="shared" si="66"/>
        <v>平成4年12月5日</v>
      </c>
      <c r="I2004" s="22">
        <f t="shared" si="67"/>
        <v>33943</v>
      </c>
      <c r="J2004" s="1" t="str">
        <f>"00747753"</f>
        <v>00747753</v>
      </c>
      <c r="K2004" s="1" t="str">
        <f>"３６１　　　　　　　　　　　　　　　　　"</f>
        <v>３６１　　　　　　　　　　　　　　　　　</v>
      </c>
      <c r="L2004" s="1"/>
    </row>
    <row r="2005" spans="1:12" ht="18" customHeight="1" x14ac:dyDescent="0.15">
      <c r="A2005" s="1">
        <v>5260</v>
      </c>
      <c r="B2005" s="11" t="s">
        <v>536</v>
      </c>
      <c r="C2005" s="11" t="s">
        <v>538</v>
      </c>
      <c r="D2005" s="11">
        <v>1</v>
      </c>
      <c r="E2005" s="11" t="s">
        <v>9</v>
      </c>
      <c r="F2005" s="12">
        <v>26000</v>
      </c>
      <c r="G2005" s="12">
        <v>26000</v>
      </c>
      <c r="H2005" s="11" t="str">
        <f t="shared" si="66"/>
        <v>平成4年12月5日</v>
      </c>
      <c r="I2005" s="22">
        <f t="shared" si="67"/>
        <v>33943</v>
      </c>
      <c r="J2005" s="1" t="str">
        <f>"00747755"</f>
        <v>00747755</v>
      </c>
      <c r="K2005" s="1" t="str">
        <f>"３６２　　　　　　　　　　　　　　　　　"</f>
        <v>３６２　　　　　　　　　　　　　　　　　</v>
      </c>
      <c r="L2005" s="1"/>
    </row>
    <row r="2006" spans="1:12" ht="18" customHeight="1" x14ac:dyDescent="0.15">
      <c r="A2006" s="1">
        <v>5261</v>
      </c>
      <c r="B2006" s="11" t="s">
        <v>536</v>
      </c>
      <c r="C2006" s="11" t="s">
        <v>538</v>
      </c>
      <c r="D2006" s="11">
        <v>1</v>
      </c>
      <c r="E2006" s="11" t="s">
        <v>9</v>
      </c>
      <c r="F2006" s="12">
        <v>26000</v>
      </c>
      <c r="G2006" s="12">
        <v>26000</v>
      </c>
      <c r="H2006" s="11" t="str">
        <f t="shared" si="66"/>
        <v>平成4年12月5日</v>
      </c>
      <c r="I2006" s="22">
        <f t="shared" si="67"/>
        <v>33943</v>
      </c>
      <c r="J2006" s="1" t="str">
        <f>"00747757"</f>
        <v>00747757</v>
      </c>
      <c r="K2006" s="1" t="str">
        <f>"３６３　　　　　　　　　　　　　　　　　"</f>
        <v>３６３　　　　　　　　　　　　　　　　　</v>
      </c>
      <c r="L2006" s="1"/>
    </row>
    <row r="2007" spans="1:12" ht="18" customHeight="1" x14ac:dyDescent="0.15">
      <c r="A2007" s="1">
        <v>5262</v>
      </c>
      <c r="B2007" s="11" t="s">
        <v>536</v>
      </c>
      <c r="C2007" s="11" t="s">
        <v>538</v>
      </c>
      <c r="D2007" s="11">
        <v>1</v>
      </c>
      <c r="E2007" s="11" t="s">
        <v>9</v>
      </c>
      <c r="F2007" s="12">
        <v>26000</v>
      </c>
      <c r="G2007" s="12">
        <v>26000</v>
      </c>
      <c r="H2007" s="11" t="str">
        <f t="shared" si="66"/>
        <v>平成4年12月5日</v>
      </c>
      <c r="I2007" s="22">
        <f t="shared" si="67"/>
        <v>33943</v>
      </c>
      <c r="J2007" s="1" t="str">
        <f>"00747759"</f>
        <v>00747759</v>
      </c>
      <c r="K2007" s="1" t="str">
        <f>"３６４　　　　　　　　　　　　　　　　　"</f>
        <v>３６４　　　　　　　　　　　　　　　　　</v>
      </c>
      <c r="L2007" s="1"/>
    </row>
    <row r="2008" spans="1:12" ht="18" customHeight="1" x14ac:dyDescent="0.15">
      <c r="A2008" s="1">
        <v>5263</v>
      </c>
      <c r="B2008" s="11" t="s">
        <v>536</v>
      </c>
      <c r="C2008" s="11" t="s">
        <v>538</v>
      </c>
      <c r="D2008" s="11">
        <v>1</v>
      </c>
      <c r="E2008" s="11" t="s">
        <v>9</v>
      </c>
      <c r="F2008" s="12">
        <v>26000</v>
      </c>
      <c r="G2008" s="12">
        <v>26000</v>
      </c>
      <c r="H2008" s="11" t="str">
        <f t="shared" si="66"/>
        <v>平成4年12月5日</v>
      </c>
      <c r="I2008" s="22">
        <f t="shared" si="67"/>
        <v>33943</v>
      </c>
      <c r="J2008" s="1" t="str">
        <f>"00747761"</f>
        <v>00747761</v>
      </c>
      <c r="K2008" s="1" t="str">
        <f>"３６５　　　　　　　　　　　　　　　　　"</f>
        <v>３６５　　　　　　　　　　　　　　　　　</v>
      </c>
      <c r="L2008" s="1"/>
    </row>
    <row r="2009" spans="1:12" ht="18" customHeight="1" x14ac:dyDescent="0.15">
      <c r="A2009" s="1">
        <v>5264</v>
      </c>
      <c r="B2009" s="11" t="s">
        <v>536</v>
      </c>
      <c r="C2009" s="11" t="s">
        <v>538</v>
      </c>
      <c r="D2009" s="11">
        <v>1</v>
      </c>
      <c r="E2009" s="11" t="s">
        <v>9</v>
      </c>
      <c r="F2009" s="12">
        <v>26000</v>
      </c>
      <c r="G2009" s="12">
        <v>26000</v>
      </c>
      <c r="H2009" s="11" t="str">
        <f t="shared" si="66"/>
        <v>平成4年12月5日</v>
      </c>
      <c r="I2009" s="22">
        <f t="shared" si="67"/>
        <v>33943</v>
      </c>
      <c r="J2009" s="1" t="str">
        <f>"00747763"</f>
        <v>00747763</v>
      </c>
      <c r="K2009" s="1" t="str">
        <f>"３６６　　　　　　　　　　　　　　　　　"</f>
        <v>３６６　　　　　　　　　　　　　　　　　</v>
      </c>
      <c r="L2009" s="1"/>
    </row>
    <row r="2010" spans="1:12" ht="18" customHeight="1" x14ac:dyDescent="0.15">
      <c r="A2010" s="1">
        <v>5265</v>
      </c>
      <c r="B2010" s="11" t="s">
        <v>536</v>
      </c>
      <c r="C2010" s="11" t="s">
        <v>538</v>
      </c>
      <c r="D2010" s="11">
        <v>1</v>
      </c>
      <c r="E2010" s="11" t="s">
        <v>9</v>
      </c>
      <c r="F2010" s="12">
        <v>26000</v>
      </c>
      <c r="G2010" s="12">
        <v>26000</v>
      </c>
      <c r="H2010" s="11" t="str">
        <f t="shared" si="66"/>
        <v>平成4年12月5日</v>
      </c>
      <c r="I2010" s="22">
        <f t="shared" si="67"/>
        <v>33943</v>
      </c>
      <c r="J2010" s="1" t="str">
        <f>"00747765"</f>
        <v>00747765</v>
      </c>
      <c r="K2010" s="1" t="str">
        <f>"３６７　　　　　　　　　　　　　　　　　"</f>
        <v>３６７　　　　　　　　　　　　　　　　　</v>
      </c>
      <c r="L2010" s="1"/>
    </row>
    <row r="2011" spans="1:12" ht="18" customHeight="1" x14ac:dyDescent="0.15">
      <c r="A2011" s="1">
        <v>5266</v>
      </c>
      <c r="B2011" s="11" t="s">
        <v>536</v>
      </c>
      <c r="C2011" s="11" t="s">
        <v>538</v>
      </c>
      <c r="D2011" s="11">
        <v>1</v>
      </c>
      <c r="E2011" s="11" t="s">
        <v>9</v>
      </c>
      <c r="F2011" s="12">
        <v>26000</v>
      </c>
      <c r="G2011" s="12">
        <v>26000</v>
      </c>
      <c r="H2011" s="11" t="str">
        <f t="shared" si="66"/>
        <v>平成4年12月5日</v>
      </c>
      <c r="I2011" s="22">
        <f t="shared" si="67"/>
        <v>33943</v>
      </c>
      <c r="J2011" s="1" t="str">
        <f>"00747767"</f>
        <v>00747767</v>
      </c>
      <c r="K2011" s="1" t="str">
        <f>"３６８　　　　　　　　　　　　　　　　　"</f>
        <v>３６８　　　　　　　　　　　　　　　　　</v>
      </c>
      <c r="L2011" s="1"/>
    </row>
    <row r="2012" spans="1:12" ht="18" customHeight="1" x14ac:dyDescent="0.15">
      <c r="A2012" s="1">
        <v>5267</v>
      </c>
      <c r="B2012" s="11" t="s">
        <v>536</v>
      </c>
      <c r="C2012" s="11" t="s">
        <v>538</v>
      </c>
      <c r="D2012" s="11">
        <v>1</v>
      </c>
      <c r="E2012" s="11" t="s">
        <v>9</v>
      </c>
      <c r="F2012" s="12">
        <v>26000</v>
      </c>
      <c r="G2012" s="12">
        <v>26000</v>
      </c>
      <c r="H2012" s="11" t="str">
        <f t="shared" si="66"/>
        <v>平成4年12月5日</v>
      </c>
      <c r="I2012" s="22">
        <f t="shared" si="67"/>
        <v>33943</v>
      </c>
      <c r="J2012" s="1" t="str">
        <f>"00747769"</f>
        <v>00747769</v>
      </c>
      <c r="K2012" s="1" t="str">
        <f>"３６９　　　　　　　　　　　　　　　　　"</f>
        <v>３６９　　　　　　　　　　　　　　　　　</v>
      </c>
      <c r="L2012" s="1"/>
    </row>
    <row r="2013" spans="1:12" ht="18" customHeight="1" x14ac:dyDescent="0.15">
      <c r="A2013" s="1">
        <v>5268</v>
      </c>
      <c r="B2013" s="11" t="s">
        <v>536</v>
      </c>
      <c r="C2013" s="11" t="s">
        <v>539</v>
      </c>
      <c r="D2013" s="11">
        <v>1</v>
      </c>
      <c r="E2013" s="11" t="s">
        <v>9</v>
      </c>
      <c r="F2013" s="12">
        <v>601600</v>
      </c>
      <c r="G2013" s="12">
        <v>601600</v>
      </c>
      <c r="H2013" s="11" t="str">
        <f t="shared" si="66"/>
        <v>平成4年12月5日</v>
      </c>
      <c r="I2013" s="22">
        <f t="shared" si="67"/>
        <v>33943</v>
      </c>
      <c r="J2013" s="1" t="str">
        <f>"00747771"</f>
        <v>00747771</v>
      </c>
      <c r="K2013" s="1" t="str">
        <f>"３７０　　　　　　　　　　　　　　　　　"</f>
        <v>３７０　　　　　　　　　　　　　　　　　</v>
      </c>
      <c r="L2013" s="1"/>
    </row>
    <row r="2014" spans="1:12" ht="18" customHeight="1" x14ac:dyDescent="0.15">
      <c r="A2014" s="1">
        <v>5269</v>
      </c>
      <c r="B2014" s="11" t="s">
        <v>536</v>
      </c>
      <c r="C2014" s="11" t="s">
        <v>540</v>
      </c>
      <c r="D2014" s="11">
        <v>1</v>
      </c>
      <c r="E2014" s="11" t="s">
        <v>9</v>
      </c>
      <c r="F2014" s="12">
        <v>61800</v>
      </c>
      <c r="G2014" s="12">
        <v>61800</v>
      </c>
      <c r="H2014" s="11" t="str">
        <f t="shared" si="66"/>
        <v>平成4年12月5日</v>
      </c>
      <c r="I2014" s="22">
        <f t="shared" si="67"/>
        <v>33943</v>
      </c>
      <c r="J2014" s="1" t="str">
        <f>"00747773"</f>
        <v>00747773</v>
      </c>
      <c r="K2014" s="1" t="str">
        <f>"３７１　　　　　　　　　　　　　　　　　"</f>
        <v>３７１　　　　　　　　　　　　　　　　　</v>
      </c>
      <c r="L2014" s="1"/>
    </row>
    <row r="2015" spans="1:12" ht="18" customHeight="1" x14ac:dyDescent="0.15">
      <c r="A2015" s="1">
        <v>5270</v>
      </c>
      <c r="B2015" s="11" t="s">
        <v>536</v>
      </c>
      <c r="C2015" s="11" t="s">
        <v>540</v>
      </c>
      <c r="D2015" s="11">
        <v>1</v>
      </c>
      <c r="E2015" s="11" t="s">
        <v>9</v>
      </c>
      <c r="F2015" s="12">
        <v>61800</v>
      </c>
      <c r="G2015" s="12">
        <v>61800</v>
      </c>
      <c r="H2015" s="11" t="str">
        <f t="shared" si="66"/>
        <v>平成4年12月5日</v>
      </c>
      <c r="I2015" s="22">
        <f t="shared" si="67"/>
        <v>33943</v>
      </c>
      <c r="J2015" s="1" t="str">
        <f>"00747775"</f>
        <v>00747775</v>
      </c>
      <c r="K2015" s="1" t="str">
        <f>"３７２　　　　　　　　　　　　　　　　　"</f>
        <v>３７２　　　　　　　　　　　　　　　　　</v>
      </c>
      <c r="L2015" s="1"/>
    </row>
    <row r="2016" spans="1:12" ht="18" customHeight="1" x14ac:dyDescent="0.15">
      <c r="A2016" s="1">
        <v>5271</v>
      </c>
      <c r="B2016" s="11" t="s">
        <v>536</v>
      </c>
      <c r="C2016" s="11" t="s">
        <v>541</v>
      </c>
      <c r="D2016" s="11">
        <v>1</v>
      </c>
      <c r="E2016" s="11" t="s">
        <v>9</v>
      </c>
      <c r="F2016" s="12">
        <v>74200</v>
      </c>
      <c r="G2016" s="12">
        <v>74200</v>
      </c>
      <c r="H2016" s="11" t="str">
        <f t="shared" si="66"/>
        <v>平成4年12月5日</v>
      </c>
      <c r="I2016" s="22">
        <f t="shared" si="67"/>
        <v>33943</v>
      </c>
      <c r="J2016" s="1" t="str">
        <f>"00747777"</f>
        <v>00747777</v>
      </c>
      <c r="K2016" s="1" t="str">
        <f>"３７３　　　　　　　　　　　　　　　　　"</f>
        <v>３７３　　　　　　　　　　　　　　　　　</v>
      </c>
      <c r="L2016" s="1"/>
    </row>
    <row r="2017" spans="1:12" ht="18" customHeight="1" x14ac:dyDescent="0.15">
      <c r="A2017" s="1">
        <v>5272</v>
      </c>
      <c r="B2017" s="11" t="s">
        <v>536</v>
      </c>
      <c r="C2017" s="11" t="s">
        <v>541</v>
      </c>
      <c r="D2017" s="11">
        <v>1</v>
      </c>
      <c r="E2017" s="11" t="s">
        <v>9</v>
      </c>
      <c r="F2017" s="12">
        <v>74200</v>
      </c>
      <c r="G2017" s="12">
        <v>74200</v>
      </c>
      <c r="H2017" s="11" t="str">
        <f t="shared" si="66"/>
        <v>平成4年12月5日</v>
      </c>
      <c r="I2017" s="22">
        <f t="shared" si="67"/>
        <v>33943</v>
      </c>
      <c r="J2017" s="1" t="str">
        <f>"00747779"</f>
        <v>00747779</v>
      </c>
      <c r="K2017" s="1" t="str">
        <f>"３７４　　　　　　　　　　　　　　　　　"</f>
        <v>３７４　　　　　　　　　　　　　　　　　</v>
      </c>
      <c r="L2017" s="1"/>
    </row>
    <row r="2018" spans="1:12" ht="18" customHeight="1" x14ac:dyDescent="0.15">
      <c r="A2018" s="1">
        <v>5273</v>
      </c>
      <c r="B2018" s="11" t="s">
        <v>536</v>
      </c>
      <c r="C2018" s="11" t="s">
        <v>542</v>
      </c>
      <c r="D2018" s="11">
        <v>1</v>
      </c>
      <c r="E2018" s="11" t="s">
        <v>9</v>
      </c>
      <c r="F2018" s="12">
        <v>30900</v>
      </c>
      <c r="G2018" s="12">
        <v>30900</v>
      </c>
      <c r="H2018" s="11" t="str">
        <f t="shared" si="66"/>
        <v>平成4年12月5日</v>
      </c>
      <c r="I2018" s="22">
        <f t="shared" si="67"/>
        <v>33943</v>
      </c>
      <c r="J2018" s="1" t="str">
        <f>"00747781"</f>
        <v>00747781</v>
      </c>
      <c r="K2018" s="1" t="str">
        <f>"３７５　　　　　　　　　　　　　　　　　"</f>
        <v>３７５　　　　　　　　　　　　　　　　　</v>
      </c>
      <c r="L2018" s="1"/>
    </row>
    <row r="2019" spans="1:12" ht="18" customHeight="1" x14ac:dyDescent="0.15">
      <c r="A2019" s="1">
        <v>5274</v>
      </c>
      <c r="B2019" s="11" t="s">
        <v>536</v>
      </c>
      <c r="C2019" s="11" t="s">
        <v>542</v>
      </c>
      <c r="D2019" s="11">
        <v>1</v>
      </c>
      <c r="E2019" s="11" t="s">
        <v>9</v>
      </c>
      <c r="F2019" s="12">
        <v>30900</v>
      </c>
      <c r="G2019" s="12">
        <v>30900</v>
      </c>
      <c r="H2019" s="11" t="str">
        <f t="shared" si="66"/>
        <v>平成4年12月5日</v>
      </c>
      <c r="I2019" s="22">
        <f t="shared" si="67"/>
        <v>33943</v>
      </c>
      <c r="J2019" s="1" t="str">
        <f>"00747783"</f>
        <v>00747783</v>
      </c>
      <c r="K2019" s="1" t="str">
        <f>"３７６　　　　　　　　　　　　　　　　　"</f>
        <v>３７６　　　　　　　　　　　　　　　　　</v>
      </c>
      <c r="L2019" s="1"/>
    </row>
    <row r="2020" spans="1:12" ht="18" customHeight="1" x14ac:dyDescent="0.15">
      <c r="A2020" s="1">
        <v>5275</v>
      </c>
      <c r="B2020" s="11" t="s">
        <v>536</v>
      </c>
      <c r="C2020" s="11" t="s">
        <v>542</v>
      </c>
      <c r="D2020" s="11">
        <v>1</v>
      </c>
      <c r="E2020" s="11" t="s">
        <v>9</v>
      </c>
      <c r="F2020" s="12">
        <v>30900</v>
      </c>
      <c r="G2020" s="12">
        <v>30900</v>
      </c>
      <c r="H2020" s="11" t="str">
        <f t="shared" si="66"/>
        <v>平成4年12月5日</v>
      </c>
      <c r="I2020" s="22">
        <f t="shared" si="67"/>
        <v>33943</v>
      </c>
      <c r="J2020" s="1" t="str">
        <f>"00747785"</f>
        <v>00747785</v>
      </c>
      <c r="K2020" s="1" t="str">
        <f>"３７７　　　　　　　　　　　　　　　　　"</f>
        <v>３７７　　　　　　　　　　　　　　　　　</v>
      </c>
      <c r="L2020" s="1"/>
    </row>
    <row r="2021" spans="1:12" ht="18" customHeight="1" x14ac:dyDescent="0.15">
      <c r="A2021" s="1">
        <v>5276</v>
      </c>
      <c r="B2021" s="11" t="s">
        <v>536</v>
      </c>
      <c r="C2021" s="11" t="s">
        <v>542</v>
      </c>
      <c r="D2021" s="11">
        <v>1</v>
      </c>
      <c r="E2021" s="11" t="s">
        <v>9</v>
      </c>
      <c r="F2021" s="12">
        <v>30900</v>
      </c>
      <c r="G2021" s="12">
        <v>30900</v>
      </c>
      <c r="H2021" s="11" t="str">
        <f t="shared" si="66"/>
        <v>平成4年12月5日</v>
      </c>
      <c r="I2021" s="22">
        <f t="shared" si="67"/>
        <v>33943</v>
      </c>
      <c r="J2021" s="1" t="str">
        <f>"00747787"</f>
        <v>00747787</v>
      </c>
      <c r="K2021" s="1" t="str">
        <f>"３７８　　　　　　　　　　　　　　　　　"</f>
        <v>３７８　　　　　　　　　　　　　　　　　</v>
      </c>
      <c r="L2021" s="1"/>
    </row>
    <row r="2022" spans="1:12" ht="18" customHeight="1" x14ac:dyDescent="0.15">
      <c r="A2022" s="1">
        <v>5277</v>
      </c>
      <c r="B2022" s="11" t="s">
        <v>536</v>
      </c>
      <c r="C2022" s="11" t="s">
        <v>543</v>
      </c>
      <c r="D2022" s="11">
        <v>1</v>
      </c>
      <c r="E2022" s="11" t="s">
        <v>9</v>
      </c>
      <c r="F2022" s="12">
        <v>35100</v>
      </c>
      <c r="G2022" s="12">
        <v>35100</v>
      </c>
      <c r="H2022" s="11" t="str">
        <f t="shared" si="66"/>
        <v>平成4年12月5日</v>
      </c>
      <c r="I2022" s="22">
        <f t="shared" si="67"/>
        <v>33943</v>
      </c>
      <c r="J2022" s="1" t="str">
        <f>"00747789"</f>
        <v>00747789</v>
      </c>
      <c r="K2022" s="1" t="str">
        <f>"３７９　　　　　　　　　　　　　　　　　"</f>
        <v>３７９　　　　　　　　　　　　　　　　　</v>
      </c>
      <c r="L2022" s="1"/>
    </row>
    <row r="2023" spans="1:12" ht="18" customHeight="1" x14ac:dyDescent="0.15">
      <c r="A2023" s="1">
        <v>5278</v>
      </c>
      <c r="B2023" s="11" t="s">
        <v>536</v>
      </c>
      <c r="C2023" s="11" t="s">
        <v>543</v>
      </c>
      <c r="D2023" s="11">
        <v>1</v>
      </c>
      <c r="E2023" s="11" t="s">
        <v>9</v>
      </c>
      <c r="F2023" s="12">
        <v>35100</v>
      </c>
      <c r="G2023" s="12">
        <v>35100</v>
      </c>
      <c r="H2023" s="11" t="str">
        <f t="shared" si="66"/>
        <v>平成4年12月5日</v>
      </c>
      <c r="I2023" s="22">
        <f t="shared" si="67"/>
        <v>33943</v>
      </c>
      <c r="J2023" s="1" t="str">
        <f>"00747790"</f>
        <v>00747790</v>
      </c>
      <c r="K2023" s="1" t="str">
        <f>"３８０　　　　　　　　　　　　　　　　　"</f>
        <v>３８０　　　　　　　　　　　　　　　　　</v>
      </c>
      <c r="L2023" s="1"/>
    </row>
    <row r="2024" spans="1:12" ht="18" customHeight="1" x14ac:dyDescent="0.15">
      <c r="A2024" s="1">
        <v>5279</v>
      </c>
      <c r="B2024" s="11" t="s">
        <v>536</v>
      </c>
      <c r="C2024" s="11" t="s">
        <v>544</v>
      </c>
      <c r="D2024" s="11">
        <v>1</v>
      </c>
      <c r="E2024" s="11" t="s">
        <v>9</v>
      </c>
      <c r="F2024" s="12">
        <v>90700</v>
      </c>
      <c r="G2024" s="12">
        <v>90700</v>
      </c>
      <c r="H2024" s="11" t="str">
        <f t="shared" si="66"/>
        <v>平成4年12月5日</v>
      </c>
      <c r="I2024" s="22">
        <f t="shared" si="67"/>
        <v>33943</v>
      </c>
      <c r="J2024" s="1" t="str">
        <f>"00747793"</f>
        <v>00747793</v>
      </c>
      <c r="K2024" s="1" t="str">
        <f>"３８１　　　　　　　　　　　　　　　　　"</f>
        <v>３８１　　　　　　　　　　　　　　　　　</v>
      </c>
      <c r="L2024" s="1"/>
    </row>
    <row r="2025" spans="1:12" ht="18" customHeight="1" x14ac:dyDescent="0.15">
      <c r="A2025" s="1">
        <v>5280</v>
      </c>
      <c r="B2025" s="11" t="s">
        <v>536</v>
      </c>
      <c r="C2025" s="11" t="s">
        <v>544</v>
      </c>
      <c r="D2025" s="11">
        <v>1</v>
      </c>
      <c r="E2025" s="11" t="s">
        <v>9</v>
      </c>
      <c r="F2025" s="12">
        <v>90700</v>
      </c>
      <c r="G2025" s="12">
        <v>90700</v>
      </c>
      <c r="H2025" s="11" t="str">
        <f t="shared" si="66"/>
        <v>平成4年12月5日</v>
      </c>
      <c r="I2025" s="22">
        <f t="shared" si="67"/>
        <v>33943</v>
      </c>
      <c r="J2025" s="1" t="str">
        <f>"00747795"</f>
        <v>00747795</v>
      </c>
      <c r="K2025" s="1" t="str">
        <f>"３８２　　　　　　　　　　　　　　　　　"</f>
        <v>３８２　　　　　　　　　　　　　　　　　</v>
      </c>
      <c r="L2025" s="1"/>
    </row>
    <row r="2026" spans="1:12" ht="18" customHeight="1" x14ac:dyDescent="0.15">
      <c r="A2026" s="1">
        <v>5281</v>
      </c>
      <c r="B2026" s="11" t="s">
        <v>536</v>
      </c>
      <c r="C2026" s="11" t="s">
        <v>544</v>
      </c>
      <c r="D2026" s="11">
        <v>1</v>
      </c>
      <c r="E2026" s="11" t="s">
        <v>9</v>
      </c>
      <c r="F2026" s="12">
        <v>90700</v>
      </c>
      <c r="G2026" s="12">
        <v>90700</v>
      </c>
      <c r="H2026" s="11" t="str">
        <f t="shared" si="66"/>
        <v>平成4年12月5日</v>
      </c>
      <c r="I2026" s="22">
        <f t="shared" si="67"/>
        <v>33943</v>
      </c>
      <c r="J2026" s="1" t="str">
        <f>"00747797"</f>
        <v>00747797</v>
      </c>
      <c r="K2026" s="1" t="str">
        <f>"３８３　　　　　　　　　　　　　　　　　"</f>
        <v>３８３　　　　　　　　　　　　　　　　　</v>
      </c>
      <c r="L2026" s="1"/>
    </row>
    <row r="2027" spans="1:12" ht="18" customHeight="1" x14ac:dyDescent="0.15">
      <c r="A2027" s="1">
        <v>5282</v>
      </c>
      <c r="B2027" s="11" t="s">
        <v>536</v>
      </c>
      <c r="C2027" s="11" t="s">
        <v>544</v>
      </c>
      <c r="D2027" s="11">
        <v>1</v>
      </c>
      <c r="E2027" s="11" t="s">
        <v>9</v>
      </c>
      <c r="F2027" s="12">
        <v>90700</v>
      </c>
      <c r="G2027" s="12">
        <v>90700</v>
      </c>
      <c r="H2027" s="11" t="str">
        <f t="shared" si="66"/>
        <v>平成4年12月5日</v>
      </c>
      <c r="I2027" s="22">
        <f t="shared" si="67"/>
        <v>33943</v>
      </c>
      <c r="J2027" s="1" t="str">
        <f>"00747799"</f>
        <v>00747799</v>
      </c>
      <c r="K2027" s="1" t="str">
        <f>"３８４　　　　　　　　　　　　　　　　　"</f>
        <v>３８４　　　　　　　　　　　　　　　　　</v>
      </c>
      <c r="L2027" s="1"/>
    </row>
    <row r="2028" spans="1:12" ht="18" customHeight="1" x14ac:dyDescent="0.15">
      <c r="A2028" s="1">
        <v>5283</v>
      </c>
      <c r="B2028" s="11" t="s">
        <v>536</v>
      </c>
      <c r="C2028" s="11" t="s">
        <v>544</v>
      </c>
      <c r="D2028" s="11">
        <v>1</v>
      </c>
      <c r="E2028" s="11" t="s">
        <v>9</v>
      </c>
      <c r="F2028" s="12">
        <v>90700</v>
      </c>
      <c r="G2028" s="12">
        <v>90700</v>
      </c>
      <c r="H2028" s="11" t="str">
        <f t="shared" si="66"/>
        <v>平成4年12月5日</v>
      </c>
      <c r="I2028" s="22">
        <f t="shared" si="67"/>
        <v>33943</v>
      </c>
      <c r="J2028" s="1" t="str">
        <f>"00747801"</f>
        <v>00747801</v>
      </c>
      <c r="K2028" s="1" t="str">
        <f>"３８５　　　　　　　　　　　　　　　　　"</f>
        <v>３８５　　　　　　　　　　　　　　　　　</v>
      </c>
      <c r="L2028" s="1"/>
    </row>
    <row r="2029" spans="1:12" ht="18" customHeight="1" x14ac:dyDescent="0.15">
      <c r="A2029" s="1">
        <v>5284</v>
      </c>
      <c r="B2029" s="11" t="s">
        <v>536</v>
      </c>
      <c r="C2029" s="11" t="s">
        <v>545</v>
      </c>
      <c r="D2029" s="11">
        <v>1</v>
      </c>
      <c r="E2029" s="11" t="s">
        <v>9</v>
      </c>
      <c r="F2029" s="12">
        <v>66000</v>
      </c>
      <c r="G2029" s="12">
        <v>66000</v>
      </c>
      <c r="H2029" s="11" t="str">
        <f t="shared" si="66"/>
        <v>平成4年12月5日</v>
      </c>
      <c r="I2029" s="22">
        <f t="shared" si="67"/>
        <v>33943</v>
      </c>
      <c r="J2029" s="1" t="str">
        <f>"00747803"</f>
        <v>00747803</v>
      </c>
      <c r="K2029" s="1" t="str">
        <f>"３８６　　　　　　　　　　　　　　　　　"</f>
        <v>３８６　　　　　　　　　　　　　　　　　</v>
      </c>
      <c r="L2029" s="1"/>
    </row>
    <row r="2030" spans="1:12" ht="18" customHeight="1" x14ac:dyDescent="0.15">
      <c r="A2030" s="1">
        <v>5285</v>
      </c>
      <c r="B2030" s="11" t="s">
        <v>536</v>
      </c>
      <c r="C2030" s="11" t="s">
        <v>545</v>
      </c>
      <c r="D2030" s="11">
        <v>1</v>
      </c>
      <c r="E2030" s="11" t="s">
        <v>9</v>
      </c>
      <c r="F2030" s="12">
        <v>66000</v>
      </c>
      <c r="G2030" s="12">
        <v>66000</v>
      </c>
      <c r="H2030" s="11" t="str">
        <f t="shared" ref="H2030:H2093" si="68">"平成4年12月5日"</f>
        <v>平成4年12月5日</v>
      </c>
      <c r="I2030" s="22">
        <f t="shared" si="67"/>
        <v>33943</v>
      </c>
      <c r="J2030" s="1" t="str">
        <f>"00747805"</f>
        <v>00747805</v>
      </c>
      <c r="K2030" s="1" t="str">
        <f>"３８７　　　　　　　　　　　　　　　　　"</f>
        <v>３８７　　　　　　　　　　　　　　　　　</v>
      </c>
      <c r="L2030" s="1"/>
    </row>
    <row r="2031" spans="1:12" ht="18" customHeight="1" x14ac:dyDescent="0.15">
      <c r="A2031" s="1">
        <v>5286</v>
      </c>
      <c r="B2031" s="11" t="s">
        <v>536</v>
      </c>
      <c r="C2031" s="11" t="s">
        <v>545</v>
      </c>
      <c r="D2031" s="11">
        <v>1</v>
      </c>
      <c r="E2031" s="11" t="s">
        <v>9</v>
      </c>
      <c r="F2031" s="12">
        <v>66000</v>
      </c>
      <c r="G2031" s="12">
        <v>66000</v>
      </c>
      <c r="H2031" s="11" t="str">
        <f t="shared" si="68"/>
        <v>平成4年12月5日</v>
      </c>
      <c r="I2031" s="22">
        <f t="shared" si="67"/>
        <v>33943</v>
      </c>
      <c r="J2031" s="1" t="str">
        <f>"00747807"</f>
        <v>00747807</v>
      </c>
      <c r="K2031" s="1" t="str">
        <f>"３８８　　　　　　　　　　　　　　　　　"</f>
        <v>３８８　　　　　　　　　　　　　　　　　</v>
      </c>
      <c r="L2031" s="1"/>
    </row>
    <row r="2032" spans="1:12" ht="18" customHeight="1" x14ac:dyDescent="0.15">
      <c r="A2032" s="1">
        <v>5287</v>
      </c>
      <c r="B2032" s="11" t="s">
        <v>536</v>
      </c>
      <c r="C2032" s="11" t="s">
        <v>545</v>
      </c>
      <c r="D2032" s="11">
        <v>1</v>
      </c>
      <c r="E2032" s="11" t="s">
        <v>9</v>
      </c>
      <c r="F2032" s="12">
        <v>66000</v>
      </c>
      <c r="G2032" s="12">
        <v>66000</v>
      </c>
      <c r="H2032" s="11" t="str">
        <f t="shared" si="68"/>
        <v>平成4年12月5日</v>
      </c>
      <c r="I2032" s="22">
        <f t="shared" si="67"/>
        <v>33943</v>
      </c>
      <c r="J2032" s="1" t="str">
        <f>"00747808"</f>
        <v>00747808</v>
      </c>
      <c r="K2032" s="1" t="str">
        <f>"３８９　　　　　　　　　　　　　　　　　"</f>
        <v>３８９　　　　　　　　　　　　　　　　　</v>
      </c>
      <c r="L2032" s="1"/>
    </row>
    <row r="2033" spans="1:12" ht="18" customHeight="1" x14ac:dyDescent="0.15">
      <c r="A2033" s="1">
        <v>5288</v>
      </c>
      <c r="B2033" s="11" t="s">
        <v>536</v>
      </c>
      <c r="C2033" s="11" t="s">
        <v>545</v>
      </c>
      <c r="D2033" s="11">
        <v>1</v>
      </c>
      <c r="E2033" s="11" t="s">
        <v>9</v>
      </c>
      <c r="F2033" s="12">
        <v>66000</v>
      </c>
      <c r="G2033" s="12">
        <v>66000</v>
      </c>
      <c r="H2033" s="11" t="str">
        <f t="shared" si="68"/>
        <v>平成4年12月5日</v>
      </c>
      <c r="I2033" s="22">
        <f t="shared" si="67"/>
        <v>33943</v>
      </c>
      <c r="J2033" s="1" t="str">
        <f>"00747810"</f>
        <v>00747810</v>
      </c>
      <c r="K2033" s="1" t="str">
        <f>"３９０　　　　　　　　　　　　　　　　　"</f>
        <v>３９０　　　　　　　　　　　　　　　　　</v>
      </c>
      <c r="L2033" s="1"/>
    </row>
    <row r="2034" spans="1:12" ht="18" customHeight="1" x14ac:dyDescent="0.15">
      <c r="A2034" s="1">
        <v>5289</v>
      </c>
      <c r="B2034" s="11" t="s">
        <v>536</v>
      </c>
      <c r="C2034" s="11" t="s">
        <v>546</v>
      </c>
      <c r="D2034" s="11">
        <v>1</v>
      </c>
      <c r="E2034" s="11" t="s">
        <v>9</v>
      </c>
      <c r="F2034" s="12">
        <v>41200</v>
      </c>
      <c r="G2034" s="12">
        <v>41200</v>
      </c>
      <c r="H2034" s="11" t="str">
        <f t="shared" si="68"/>
        <v>平成4年12月5日</v>
      </c>
      <c r="I2034" s="22">
        <f t="shared" si="67"/>
        <v>33943</v>
      </c>
      <c r="J2034" s="1" t="str">
        <f>"00747812"</f>
        <v>00747812</v>
      </c>
      <c r="K2034" s="1" t="str">
        <f>"３９１　　　　　　　　　　　　　　　　　"</f>
        <v>３９１　　　　　　　　　　　　　　　　　</v>
      </c>
      <c r="L2034" s="1"/>
    </row>
    <row r="2035" spans="1:12" ht="18" customHeight="1" x14ac:dyDescent="0.15">
      <c r="A2035" s="1">
        <v>5290</v>
      </c>
      <c r="B2035" s="11" t="s">
        <v>536</v>
      </c>
      <c r="C2035" s="11" t="s">
        <v>546</v>
      </c>
      <c r="D2035" s="11">
        <v>1</v>
      </c>
      <c r="E2035" s="11" t="s">
        <v>9</v>
      </c>
      <c r="F2035" s="12">
        <v>41200</v>
      </c>
      <c r="G2035" s="12">
        <v>41200</v>
      </c>
      <c r="H2035" s="11" t="str">
        <f t="shared" si="68"/>
        <v>平成4年12月5日</v>
      </c>
      <c r="I2035" s="22">
        <f t="shared" si="67"/>
        <v>33943</v>
      </c>
      <c r="J2035" s="1" t="str">
        <f>"00747815"</f>
        <v>00747815</v>
      </c>
      <c r="K2035" s="1" t="str">
        <f>"３９２　　　　　　　　　　　　　　　　　"</f>
        <v>３９２　　　　　　　　　　　　　　　　　</v>
      </c>
      <c r="L2035" s="1"/>
    </row>
    <row r="2036" spans="1:12" ht="18" customHeight="1" x14ac:dyDescent="0.15">
      <c r="A2036" s="1">
        <v>5291</v>
      </c>
      <c r="B2036" s="11" t="s">
        <v>536</v>
      </c>
      <c r="C2036" s="11" t="s">
        <v>547</v>
      </c>
      <c r="D2036" s="11">
        <v>1</v>
      </c>
      <c r="E2036" s="11" t="s">
        <v>9</v>
      </c>
      <c r="F2036" s="12">
        <v>82400</v>
      </c>
      <c r="G2036" s="12">
        <v>82400</v>
      </c>
      <c r="H2036" s="11" t="str">
        <f t="shared" si="68"/>
        <v>平成4年12月5日</v>
      </c>
      <c r="I2036" s="22">
        <f t="shared" si="67"/>
        <v>33943</v>
      </c>
      <c r="J2036" s="1" t="str">
        <f>"00747817"</f>
        <v>00747817</v>
      </c>
      <c r="K2036" s="1" t="str">
        <f>"３９３　　　　　　　　　　　　　　　　　"</f>
        <v>３９３　　　　　　　　　　　　　　　　　</v>
      </c>
      <c r="L2036" s="1"/>
    </row>
    <row r="2037" spans="1:12" ht="18" customHeight="1" x14ac:dyDescent="0.15">
      <c r="A2037" s="1">
        <v>5292</v>
      </c>
      <c r="B2037" s="11" t="s">
        <v>536</v>
      </c>
      <c r="C2037" s="11" t="s">
        <v>547</v>
      </c>
      <c r="D2037" s="11">
        <v>1</v>
      </c>
      <c r="E2037" s="11" t="s">
        <v>9</v>
      </c>
      <c r="F2037" s="12">
        <v>82400</v>
      </c>
      <c r="G2037" s="12">
        <v>82400</v>
      </c>
      <c r="H2037" s="11" t="str">
        <f t="shared" si="68"/>
        <v>平成4年12月5日</v>
      </c>
      <c r="I2037" s="22">
        <f t="shared" si="67"/>
        <v>33943</v>
      </c>
      <c r="J2037" s="1" t="str">
        <f>"00747819"</f>
        <v>00747819</v>
      </c>
      <c r="K2037" s="1" t="str">
        <f>"３９４　　　　　　　　　　　　　　　　　"</f>
        <v>３９４　　　　　　　　　　　　　　　　　</v>
      </c>
      <c r="L2037" s="1"/>
    </row>
    <row r="2038" spans="1:12" ht="18" customHeight="1" x14ac:dyDescent="0.15">
      <c r="A2038" s="1">
        <v>5293</v>
      </c>
      <c r="B2038" s="11" t="s">
        <v>536</v>
      </c>
      <c r="C2038" s="11" t="s">
        <v>547</v>
      </c>
      <c r="D2038" s="11">
        <v>1</v>
      </c>
      <c r="E2038" s="11" t="s">
        <v>9</v>
      </c>
      <c r="F2038" s="12">
        <v>82400</v>
      </c>
      <c r="G2038" s="12">
        <v>82400</v>
      </c>
      <c r="H2038" s="11" t="str">
        <f t="shared" si="68"/>
        <v>平成4年12月5日</v>
      </c>
      <c r="I2038" s="22">
        <f t="shared" si="67"/>
        <v>33943</v>
      </c>
      <c r="J2038" s="1" t="str">
        <f>"00747821"</f>
        <v>00747821</v>
      </c>
      <c r="K2038" s="1" t="str">
        <f>"３９５　　　　　　　　　　　　　　　　　"</f>
        <v>３９５　　　　　　　　　　　　　　　　　</v>
      </c>
      <c r="L2038" s="1"/>
    </row>
    <row r="2039" spans="1:12" ht="18" customHeight="1" x14ac:dyDescent="0.15">
      <c r="A2039" s="1">
        <v>5294</v>
      </c>
      <c r="B2039" s="11" t="s">
        <v>536</v>
      </c>
      <c r="C2039" s="11" t="s">
        <v>547</v>
      </c>
      <c r="D2039" s="11">
        <v>1</v>
      </c>
      <c r="E2039" s="11" t="s">
        <v>9</v>
      </c>
      <c r="F2039" s="12">
        <v>82400</v>
      </c>
      <c r="G2039" s="12">
        <v>82400</v>
      </c>
      <c r="H2039" s="11" t="str">
        <f t="shared" si="68"/>
        <v>平成4年12月5日</v>
      </c>
      <c r="I2039" s="22">
        <f t="shared" si="67"/>
        <v>33943</v>
      </c>
      <c r="J2039" s="1" t="str">
        <f>"00747823"</f>
        <v>00747823</v>
      </c>
      <c r="K2039" s="1" t="str">
        <f>"３９６　　　　　　　　　　　　　　　　　"</f>
        <v>３９６　　　　　　　　　　　　　　　　　</v>
      </c>
      <c r="L2039" s="1"/>
    </row>
    <row r="2040" spans="1:12" ht="18" customHeight="1" x14ac:dyDescent="0.15">
      <c r="A2040" s="1">
        <v>5295</v>
      </c>
      <c r="B2040" s="11" t="s">
        <v>536</v>
      </c>
      <c r="C2040" s="11" t="s">
        <v>547</v>
      </c>
      <c r="D2040" s="11">
        <v>1</v>
      </c>
      <c r="E2040" s="11" t="s">
        <v>9</v>
      </c>
      <c r="F2040" s="12">
        <v>82400</v>
      </c>
      <c r="G2040" s="12">
        <v>82400</v>
      </c>
      <c r="H2040" s="11" t="str">
        <f t="shared" si="68"/>
        <v>平成4年12月5日</v>
      </c>
      <c r="I2040" s="22">
        <f t="shared" si="67"/>
        <v>33943</v>
      </c>
      <c r="J2040" s="1" t="str">
        <f>"00747825"</f>
        <v>00747825</v>
      </c>
      <c r="K2040" s="1" t="str">
        <f>"３９７　　　　　　　　　　　　　　　　　"</f>
        <v>３９７　　　　　　　　　　　　　　　　　</v>
      </c>
      <c r="L2040" s="1"/>
    </row>
    <row r="2041" spans="1:12" ht="18" customHeight="1" x14ac:dyDescent="0.15">
      <c r="A2041" s="1">
        <v>5296</v>
      </c>
      <c r="B2041" s="11" t="s">
        <v>536</v>
      </c>
      <c r="C2041" s="11" t="s">
        <v>548</v>
      </c>
      <c r="D2041" s="11">
        <v>1</v>
      </c>
      <c r="E2041" s="11" t="s">
        <v>9</v>
      </c>
      <c r="F2041" s="12">
        <v>21700</v>
      </c>
      <c r="G2041" s="12">
        <v>21700</v>
      </c>
      <c r="H2041" s="11" t="str">
        <f t="shared" si="68"/>
        <v>平成4年12月5日</v>
      </c>
      <c r="I2041" s="22">
        <f t="shared" si="67"/>
        <v>33943</v>
      </c>
      <c r="J2041" s="1" t="str">
        <f>"00747827"</f>
        <v>00747827</v>
      </c>
      <c r="K2041" s="1" t="str">
        <f>"３９８　　　　　　　　　　　　　　　　　"</f>
        <v>３９８　　　　　　　　　　　　　　　　　</v>
      </c>
      <c r="L2041" s="1"/>
    </row>
    <row r="2042" spans="1:12" ht="18" customHeight="1" x14ac:dyDescent="0.15">
      <c r="A2042" s="1">
        <v>5297</v>
      </c>
      <c r="B2042" s="11" t="s">
        <v>536</v>
      </c>
      <c r="C2042" s="11" t="s">
        <v>548</v>
      </c>
      <c r="D2042" s="11">
        <v>1</v>
      </c>
      <c r="E2042" s="11" t="s">
        <v>9</v>
      </c>
      <c r="F2042" s="12">
        <v>21700</v>
      </c>
      <c r="G2042" s="12">
        <v>21700</v>
      </c>
      <c r="H2042" s="11" t="str">
        <f t="shared" si="68"/>
        <v>平成4年12月5日</v>
      </c>
      <c r="I2042" s="22">
        <f t="shared" si="67"/>
        <v>33943</v>
      </c>
      <c r="J2042" s="1" t="str">
        <f>"00747829"</f>
        <v>00747829</v>
      </c>
      <c r="K2042" s="1" t="str">
        <f>"３９９　　　　　　　　　　　　　　　　　"</f>
        <v>３９９　　　　　　　　　　　　　　　　　</v>
      </c>
      <c r="L2042" s="1"/>
    </row>
    <row r="2043" spans="1:12" ht="18" customHeight="1" x14ac:dyDescent="0.15">
      <c r="A2043" s="1">
        <v>5298</v>
      </c>
      <c r="B2043" s="11" t="s">
        <v>536</v>
      </c>
      <c r="C2043" s="11" t="s">
        <v>549</v>
      </c>
      <c r="D2043" s="11">
        <v>1</v>
      </c>
      <c r="E2043" s="11" t="s">
        <v>9</v>
      </c>
      <c r="F2043" s="12">
        <v>370800</v>
      </c>
      <c r="G2043" s="12">
        <v>370800</v>
      </c>
      <c r="H2043" s="11" t="str">
        <f t="shared" si="68"/>
        <v>平成4年12月5日</v>
      </c>
      <c r="I2043" s="22">
        <f t="shared" si="67"/>
        <v>33943</v>
      </c>
      <c r="J2043" s="1" t="str">
        <f>"00747831"</f>
        <v>00747831</v>
      </c>
      <c r="K2043" s="1" t="str">
        <f>"４００　　　　　　　　　　　　　　　　　"</f>
        <v>４００　　　　　　　　　　　　　　　　　</v>
      </c>
      <c r="L2043" s="1"/>
    </row>
    <row r="2044" spans="1:12" s="40" customFormat="1" ht="18" customHeight="1" x14ac:dyDescent="0.15">
      <c r="A2044" s="25">
        <v>5299</v>
      </c>
      <c r="B2044" s="25" t="s">
        <v>536</v>
      </c>
      <c r="C2044" s="25" t="s">
        <v>550</v>
      </c>
      <c r="D2044" s="25">
        <v>1</v>
      </c>
      <c r="E2044" s="25" t="s">
        <v>9</v>
      </c>
      <c r="F2044" s="38">
        <v>88600</v>
      </c>
      <c r="G2044" s="38" t="s">
        <v>667</v>
      </c>
      <c r="H2044" s="25" t="str">
        <f t="shared" si="68"/>
        <v>平成4年12月5日</v>
      </c>
      <c r="I2044" s="39">
        <f t="shared" si="67"/>
        <v>33943</v>
      </c>
      <c r="J2044" s="25" t="str">
        <f>"00747833"</f>
        <v>00747833</v>
      </c>
      <c r="K2044" s="25" t="str">
        <f>"４０１　　　　　　　　　　　　　　　　　"</f>
        <v>４０１　　　　　　　　　　　　　　　　　</v>
      </c>
      <c r="L2044" s="25"/>
    </row>
    <row r="2045" spans="1:12" s="40" customFormat="1" ht="18" customHeight="1" x14ac:dyDescent="0.15">
      <c r="A2045" s="25">
        <v>5300</v>
      </c>
      <c r="B2045" s="25" t="s">
        <v>536</v>
      </c>
      <c r="C2045" s="25" t="s">
        <v>551</v>
      </c>
      <c r="D2045" s="25">
        <v>1</v>
      </c>
      <c r="E2045" s="25" t="s">
        <v>9</v>
      </c>
      <c r="F2045" s="38">
        <v>309000</v>
      </c>
      <c r="G2045" s="38" t="s">
        <v>667</v>
      </c>
      <c r="H2045" s="25" t="str">
        <f t="shared" si="68"/>
        <v>平成4年12月5日</v>
      </c>
      <c r="I2045" s="39">
        <f t="shared" si="67"/>
        <v>33943</v>
      </c>
      <c r="J2045" s="25" t="str">
        <f>"00747835"</f>
        <v>00747835</v>
      </c>
      <c r="K2045" s="25" t="str">
        <f>"４０３　　　　　　　　　　　　　　　　　"</f>
        <v>４０３　　　　　　　　　　　　　　　　　</v>
      </c>
      <c r="L2045" s="25"/>
    </row>
    <row r="2046" spans="1:12" s="40" customFormat="1" ht="18" customHeight="1" x14ac:dyDescent="0.15">
      <c r="A2046" s="25">
        <v>5301</v>
      </c>
      <c r="B2046" s="25" t="s">
        <v>536</v>
      </c>
      <c r="C2046" s="25" t="s">
        <v>551</v>
      </c>
      <c r="D2046" s="25">
        <v>1</v>
      </c>
      <c r="E2046" s="25" t="s">
        <v>9</v>
      </c>
      <c r="F2046" s="38">
        <v>309000</v>
      </c>
      <c r="G2046" s="38" t="s">
        <v>667</v>
      </c>
      <c r="H2046" s="25" t="str">
        <f t="shared" si="68"/>
        <v>平成4年12月5日</v>
      </c>
      <c r="I2046" s="39">
        <f t="shared" si="67"/>
        <v>33943</v>
      </c>
      <c r="J2046" s="25" t="str">
        <f>"00747837"</f>
        <v>00747837</v>
      </c>
      <c r="K2046" s="25" t="str">
        <f>"４０４　　　　　　　　　　　　　　　　　"</f>
        <v>４０４　　　　　　　　　　　　　　　　　</v>
      </c>
      <c r="L2046" s="25"/>
    </row>
    <row r="2047" spans="1:12" s="40" customFormat="1" ht="18" customHeight="1" x14ac:dyDescent="0.15">
      <c r="A2047" s="25">
        <v>5302</v>
      </c>
      <c r="B2047" s="25" t="s">
        <v>536</v>
      </c>
      <c r="C2047" s="25" t="s">
        <v>551</v>
      </c>
      <c r="D2047" s="25">
        <v>1</v>
      </c>
      <c r="E2047" s="25" t="s">
        <v>9</v>
      </c>
      <c r="F2047" s="38">
        <v>309000</v>
      </c>
      <c r="G2047" s="38" t="s">
        <v>667</v>
      </c>
      <c r="H2047" s="25" t="str">
        <f t="shared" si="68"/>
        <v>平成4年12月5日</v>
      </c>
      <c r="I2047" s="39">
        <f t="shared" si="67"/>
        <v>33943</v>
      </c>
      <c r="J2047" s="25" t="str">
        <f>"00747839"</f>
        <v>00747839</v>
      </c>
      <c r="K2047" s="25" t="str">
        <f>"４０５　　　　　　　　　　　　　　　　　"</f>
        <v>４０５　　　　　　　　　　　　　　　　　</v>
      </c>
      <c r="L2047" s="25"/>
    </row>
    <row r="2048" spans="1:12" s="40" customFormat="1" ht="18" customHeight="1" x14ac:dyDescent="0.15">
      <c r="A2048" s="25">
        <v>5303</v>
      </c>
      <c r="B2048" s="25" t="s">
        <v>536</v>
      </c>
      <c r="C2048" s="25" t="s">
        <v>551</v>
      </c>
      <c r="D2048" s="25">
        <v>1</v>
      </c>
      <c r="E2048" s="25" t="s">
        <v>9</v>
      </c>
      <c r="F2048" s="38">
        <v>309000</v>
      </c>
      <c r="G2048" s="38" t="s">
        <v>667</v>
      </c>
      <c r="H2048" s="25" t="str">
        <f t="shared" si="68"/>
        <v>平成4年12月5日</v>
      </c>
      <c r="I2048" s="39">
        <f t="shared" si="67"/>
        <v>33943</v>
      </c>
      <c r="J2048" s="25" t="str">
        <f>"00747841"</f>
        <v>00747841</v>
      </c>
      <c r="K2048" s="25" t="str">
        <f>"４０６　　　　　　　　　　　　　　　　　"</f>
        <v>４０６　　　　　　　　　　　　　　　　　</v>
      </c>
      <c r="L2048" s="25"/>
    </row>
    <row r="2049" spans="1:12" s="40" customFormat="1" ht="18" customHeight="1" x14ac:dyDescent="0.15">
      <c r="A2049" s="25">
        <v>5304</v>
      </c>
      <c r="B2049" s="25" t="s">
        <v>536</v>
      </c>
      <c r="C2049" s="25" t="s">
        <v>551</v>
      </c>
      <c r="D2049" s="25">
        <v>1</v>
      </c>
      <c r="E2049" s="25" t="s">
        <v>9</v>
      </c>
      <c r="F2049" s="38">
        <v>309000</v>
      </c>
      <c r="G2049" s="38" t="s">
        <v>667</v>
      </c>
      <c r="H2049" s="25" t="str">
        <f t="shared" si="68"/>
        <v>平成4年12月5日</v>
      </c>
      <c r="I2049" s="39">
        <f t="shared" si="67"/>
        <v>33943</v>
      </c>
      <c r="J2049" s="25" t="str">
        <f>"00747843"</f>
        <v>00747843</v>
      </c>
      <c r="K2049" s="25" t="str">
        <f>"４０７　　　　　　　　　　　　　　　　　"</f>
        <v>４０７　　　　　　　　　　　　　　　　　</v>
      </c>
      <c r="L2049" s="25"/>
    </row>
    <row r="2050" spans="1:12" s="40" customFormat="1" ht="18" customHeight="1" x14ac:dyDescent="0.15">
      <c r="A2050" s="25">
        <v>5305</v>
      </c>
      <c r="B2050" s="25" t="s">
        <v>536</v>
      </c>
      <c r="C2050" s="25" t="s">
        <v>551</v>
      </c>
      <c r="D2050" s="25">
        <v>1</v>
      </c>
      <c r="E2050" s="25" t="s">
        <v>9</v>
      </c>
      <c r="F2050" s="38">
        <v>309000</v>
      </c>
      <c r="G2050" s="38" t="s">
        <v>667</v>
      </c>
      <c r="H2050" s="25" t="str">
        <f t="shared" si="68"/>
        <v>平成4年12月5日</v>
      </c>
      <c r="I2050" s="39">
        <f t="shared" si="67"/>
        <v>33943</v>
      </c>
      <c r="J2050" s="25" t="str">
        <f>"00747845"</f>
        <v>00747845</v>
      </c>
      <c r="K2050" s="25" t="str">
        <f>"４０８　　　　　　　　　　　　　　　　　"</f>
        <v>４０８　　　　　　　　　　　　　　　　　</v>
      </c>
      <c r="L2050" s="25"/>
    </row>
    <row r="2051" spans="1:12" s="40" customFormat="1" ht="18" customHeight="1" x14ac:dyDescent="0.15">
      <c r="A2051" s="25">
        <v>5306</v>
      </c>
      <c r="B2051" s="25" t="s">
        <v>536</v>
      </c>
      <c r="C2051" s="25" t="s">
        <v>551</v>
      </c>
      <c r="D2051" s="25">
        <v>1</v>
      </c>
      <c r="E2051" s="25" t="s">
        <v>9</v>
      </c>
      <c r="F2051" s="38">
        <v>309000</v>
      </c>
      <c r="G2051" s="38" t="s">
        <v>667</v>
      </c>
      <c r="H2051" s="25" t="str">
        <f t="shared" si="68"/>
        <v>平成4年12月5日</v>
      </c>
      <c r="I2051" s="39">
        <f t="shared" si="67"/>
        <v>33943</v>
      </c>
      <c r="J2051" s="25" t="str">
        <f>"00747847"</f>
        <v>00747847</v>
      </c>
      <c r="K2051" s="25" t="str">
        <f>"４０９　　　　　　　　　　　　　　　　　"</f>
        <v>４０９　　　　　　　　　　　　　　　　　</v>
      </c>
      <c r="L2051" s="25"/>
    </row>
    <row r="2052" spans="1:12" s="40" customFormat="1" ht="18" customHeight="1" x14ac:dyDescent="0.15">
      <c r="A2052" s="25">
        <v>5307</v>
      </c>
      <c r="B2052" s="25" t="s">
        <v>536</v>
      </c>
      <c r="C2052" s="25" t="s">
        <v>551</v>
      </c>
      <c r="D2052" s="25">
        <v>1</v>
      </c>
      <c r="E2052" s="25" t="s">
        <v>9</v>
      </c>
      <c r="F2052" s="38">
        <v>309000</v>
      </c>
      <c r="G2052" s="38" t="s">
        <v>667</v>
      </c>
      <c r="H2052" s="25" t="str">
        <f t="shared" si="68"/>
        <v>平成4年12月5日</v>
      </c>
      <c r="I2052" s="39">
        <f t="shared" si="67"/>
        <v>33943</v>
      </c>
      <c r="J2052" s="25" t="str">
        <f>"00747849"</f>
        <v>00747849</v>
      </c>
      <c r="K2052" s="25" t="str">
        <f>"４１０　　　　　　　　　　　　　　　　　"</f>
        <v>４１０　　　　　　　　　　　　　　　　　</v>
      </c>
      <c r="L2052" s="25"/>
    </row>
    <row r="2053" spans="1:12" s="40" customFormat="1" ht="18" customHeight="1" x14ac:dyDescent="0.15">
      <c r="A2053" s="25">
        <v>5308</v>
      </c>
      <c r="B2053" s="25" t="s">
        <v>536</v>
      </c>
      <c r="C2053" s="25" t="s">
        <v>551</v>
      </c>
      <c r="D2053" s="25">
        <v>1</v>
      </c>
      <c r="E2053" s="25" t="s">
        <v>9</v>
      </c>
      <c r="F2053" s="38">
        <v>309000</v>
      </c>
      <c r="G2053" s="38" t="s">
        <v>667</v>
      </c>
      <c r="H2053" s="25" t="str">
        <f t="shared" si="68"/>
        <v>平成4年12月5日</v>
      </c>
      <c r="I2053" s="39">
        <f t="shared" si="67"/>
        <v>33943</v>
      </c>
      <c r="J2053" s="25" t="str">
        <f>"00747851"</f>
        <v>00747851</v>
      </c>
      <c r="K2053" s="25" t="str">
        <f>"４１１　　　　　　　　　　　　　　　　　"</f>
        <v>４１１　　　　　　　　　　　　　　　　　</v>
      </c>
      <c r="L2053" s="25"/>
    </row>
    <row r="2054" spans="1:12" s="40" customFormat="1" ht="18" customHeight="1" x14ac:dyDescent="0.15">
      <c r="A2054" s="25">
        <v>5309</v>
      </c>
      <c r="B2054" s="25" t="s">
        <v>536</v>
      </c>
      <c r="C2054" s="25" t="s">
        <v>551</v>
      </c>
      <c r="D2054" s="25">
        <v>1</v>
      </c>
      <c r="E2054" s="25" t="s">
        <v>9</v>
      </c>
      <c r="F2054" s="38">
        <v>309000</v>
      </c>
      <c r="G2054" s="38" t="s">
        <v>667</v>
      </c>
      <c r="H2054" s="25" t="str">
        <f t="shared" si="68"/>
        <v>平成4年12月5日</v>
      </c>
      <c r="I2054" s="39">
        <f t="shared" si="67"/>
        <v>33943</v>
      </c>
      <c r="J2054" s="25" t="str">
        <f>"00747853"</f>
        <v>00747853</v>
      </c>
      <c r="K2054" s="25" t="str">
        <f>"４１２　　　　　　　　　　　　　　　　　"</f>
        <v>４１２　　　　　　　　　　　　　　　　　</v>
      </c>
      <c r="L2054" s="25"/>
    </row>
    <row r="2055" spans="1:12" s="40" customFormat="1" ht="18" customHeight="1" x14ac:dyDescent="0.15">
      <c r="A2055" s="25">
        <v>5310</v>
      </c>
      <c r="B2055" s="25" t="s">
        <v>536</v>
      </c>
      <c r="C2055" s="25" t="s">
        <v>551</v>
      </c>
      <c r="D2055" s="25">
        <v>1</v>
      </c>
      <c r="E2055" s="25" t="s">
        <v>9</v>
      </c>
      <c r="F2055" s="38">
        <v>309000</v>
      </c>
      <c r="G2055" s="38" t="s">
        <v>667</v>
      </c>
      <c r="H2055" s="25" t="str">
        <f t="shared" si="68"/>
        <v>平成4年12月5日</v>
      </c>
      <c r="I2055" s="39">
        <f t="shared" si="67"/>
        <v>33943</v>
      </c>
      <c r="J2055" s="25" t="str">
        <f>"00747855"</f>
        <v>00747855</v>
      </c>
      <c r="K2055" s="25" t="str">
        <f>"４１３　　　　　　　　　　　　　　　　　"</f>
        <v>４１３　　　　　　　　　　　　　　　　　</v>
      </c>
      <c r="L2055" s="25"/>
    </row>
    <row r="2056" spans="1:12" s="40" customFormat="1" ht="18" customHeight="1" x14ac:dyDescent="0.15">
      <c r="A2056" s="25">
        <v>5311</v>
      </c>
      <c r="B2056" s="25" t="s">
        <v>536</v>
      </c>
      <c r="C2056" s="25" t="s">
        <v>551</v>
      </c>
      <c r="D2056" s="25">
        <v>1</v>
      </c>
      <c r="E2056" s="25" t="s">
        <v>9</v>
      </c>
      <c r="F2056" s="38">
        <v>309000</v>
      </c>
      <c r="G2056" s="38" t="s">
        <v>667</v>
      </c>
      <c r="H2056" s="25" t="str">
        <f t="shared" si="68"/>
        <v>平成4年12月5日</v>
      </c>
      <c r="I2056" s="39">
        <f t="shared" si="67"/>
        <v>33943</v>
      </c>
      <c r="J2056" s="25" t="str">
        <f>"00747857"</f>
        <v>00747857</v>
      </c>
      <c r="K2056" s="25" t="str">
        <f>"４１４　　　　　　　　　　　　　　　　　"</f>
        <v>４１４　　　　　　　　　　　　　　　　　</v>
      </c>
      <c r="L2056" s="25"/>
    </row>
    <row r="2057" spans="1:12" s="40" customFormat="1" ht="18" customHeight="1" x14ac:dyDescent="0.15">
      <c r="A2057" s="25">
        <v>5312</v>
      </c>
      <c r="B2057" s="25" t="s">
        <v>536</v>
      </c>
      <c r="C2057" s="25" t="s">
        <v>551</v>
      </c>
      <c r="D2057" s="25">
        <v>1</v>
      </c>
      <c r="E2057" s="25" t="s">
        <v>9</v>
      </c>
      <c r="F2057" s="38">
        <v>309000</v>
      </c>
      <c r="G2057" s="38" t="s">
        <v>667</v>
      </c>
      <c r="H2057" s="25" t="str">
        <f t="shared" si="68"/>
        <v>平成4年12月5日</v>
      </c>
      <c r="I2057" s="39">
        <f t="shared" si="67"/>
        <v>33943</v>
      </c>
      <c r="J2057" s="25" t="str">
        <f>"00747859"</f>
        <v>00747859</v>
      </c>
      <c r="K2057" s="25" t="str">
        <f>"４１５　　　　　　　　　　　　　　　　　"</f>
        <v>４１５　　　　　　　　　　　　　　　　　</v>
      </c>
      <c r="L2057" s="25"/>
    </row>
    <row r="2058" spans="1:12" s="40" customFormat="1" ht="18" customHeight="1" x14ac:dyDescent="0.15">
      <c r="A2058" s="25">
        <v>5313</v>
      </c>
      <c r="B2058" s="25" t="s">
        <v>536</v>
      </c>
      <c r="C2058" s="25" t="s">
        <v>551</v>
      </c>
      <c r="D2058" s="25">
        <v>1</v>
      </c>
      <c r="E2058" s="25" t="s">
        <v>9</v>
      </c>
      <c r="F2058" s="38">
        <v>309000</v>
      </c>
      <c r="G2058" s="38" t="s">
        <v>667</v>
      </c>
      <c r="H2058" s="25" t="str">
        <f t="shared" si="68"/>
        <v>平成4年12月5日</v>
      </c>
      <c r="I2058" s="39">
        <f t="shared" si="67"/>
        <v>33943</v>
      </c>
      <c r="J2058" s="25" t="str">
        <f>"00747861"</f>
        <v>00747861</v>
      </c>
      <c r="K2058" s="25" t="str">
        <f>"４１６　　　　　　　　　　　　　　　　　"</f>
        <v>４１６　　　　　　　　　　　　　　　　　</v>
      </c>
      <c r="L2058" s="25"/>
    </row>
    <row r="2059" spans="1:12" s="40" customFormat="1" ht="18" customHeight="1" x14ac:dyDescent="0.15">
      <c r="A2059" s="25">
        <v>5314</v>
      </c>
      <c r="B2059" s="25" t="s">
        <v>536</v>
      </c>
      <c r="C2059" s="25" t="s">
        <v>551</v>
      </c>
      <c r="D2059" s="25">
        <v>1</v>
      </c>
      <c r="E2059" s="25" t="s">
        <v>9</v>
      </c>
      <c r="F2059" s="38">
        <v>309000</v>
      </c>
      <c r="G2059" s="38" t="s">
        <v>667</v>
      </c>
      <c r="H2059" s="25" t="str">
        <f t="shared" si="68"/>
        <v>平成4年12月5日</v>
      </c>
      <c r="I2059" s="39">
        <f t="shared" si="67"/>
        <v>33943</v>
      </c>
      <c r="J2059" s="25" t="str">
        <f>"00747863"</f>
        <v>00747863</v>
      </c>
      <c r="K2059" s="25" t="str">
        <f>"４１７　　　　　　　　　　　　　　　　　"</f>
        <v>４１７　　　　　　　　　　　　　　　　　</v>
      </c>
      <c r="L2059" s="25"/>
    </row>
    <row r="2060" spans="1:12" s="40" customFormat="1" ht="18" customHeight="1" x14ac:dyDescent="0.15">
      <c r="A2060" s="25">
        <v>5315</v>
      </c>
      <c r="B2060" s="25" t="s">
        <v>536</v>
      </c>
      <c r="C2060" s="25" t="s">
        <v>551</v>
      </c>
      <c r="D2060" s="25">
        <v>1</v>
      </c>
      <c r="E2060" s="25" t="s">
        <v>9</v>
      </c>
      <c r="F2060" s="38">
        <v>309000</v>
      </c>
      <c r="G2060" s="38" t="s">
        <v>667</v>
      </c>
      <c r="H2060" s="25" t="str">
        <f t="shared" si="68"/>
        <v>平成4年12月5日</v>
      </c>
      <c r="I2060" s="39">
        <f t="shared" si="67"/>
        <v>33943</v>
      </c>
      <c r="J2060" s="25" t="str">
        <f>"00747865"</f>
        <v>00747865</v>
      </c>
      <c r="K2060" s="25" t="str">
        <f>"４１８　　　　　　　　　　　　　　　　　"</f>
        <v>４１８　　　　　　　　　　　　　　　　　</v>
      </c>
      <c r="L2060" s="25"/>
    </row>
    <row r="2061" spans="1:12" s="40" customFormat="1" ht="18" customHeight="1" x14ac:dyDescent="0.15">
      <c r="A2061" s="25">
        <v>5316</v>
      </c>
      <c r="B2061" s="25" t="s">
        <v>536</v>
      </c>
      <c r="C2061" s="25" t="s">
        <v>551</v>
      </c>
      <c r="D2061" s="25">
        <v>1</v>
      </c>
      <c r="E2061" s="25" t="s">
        <v>9</v>
      </c>
      <c r="F2061" s="38">
        <v>309000</v>
      </c>
      <c r="G2061" s="38" t="s">
        <v>667</v>
      </c>
      <c r="H2061" s="25" t="str">
        <f t="shared" si="68"/>
        <v>平成4年12月5日</v>
      </c>
      <c r="I2061" s="39">
        <f t="shared" si="67"/>
        <v>33943</v>
      </c>
      <c r="J2061" s="25" t="str">
        <f>"00747867"</f>
        <v>00747867</v>
      </c>
      <c r="K2061" s="25" t="str">
        <f>"４１９　　　　　　　　　　　　　　　　　"</f>
        <v>４１９　　　　　　　　　　　　　　　　　</v>
      </c>
      <c r="L2061" s="25"/>
    </row>
    <row r="2062" spans="1:12" s="40" customFormat="1" ht="18" customHeight="1" x14ac:dyDescent="0.15">
      <c r="A2062" s="25">
        <v>5317</v>
      </c>
      <c r="B2062" s="25" t="s">
        <v>536</v>
      </c>
      <c r="C2062" s="25" t="s">
        <v>551</v>
      </c>
      <c r="D2062" s="25">
        <v>1</v>
      </c>
      <c r="E2062" s="25" t="s">
        <v>9</v>
      </c>
      <c r="F2062" s="38">
        <v>309000</v>
      </c>
      <c r="G2062" s="38" t="s">
        <v>667</v>
      </c>
      <c r="H2062" s="25" t="str">
        <f t="shared" si="68"/>
        <v>平成4年12月5日</v>
      </c>
      <c r="I2062" s="39">
        <f t="shared" si="67"/>
        <v>33943</v>
      </c>
      <c r="J2062" s="25" t="str">
        <f>"00747869"</f>
        <v>00747869</v>
      </c>
      <c r="K2062" s="25" t="str">
        <f>"４２０　　　　　　　　　　　　　　　　　"</f>
        <v>４２０　　　　　　　　　　　　　　　　　</v>
      </c>
      <c r="L2062" s="25"/>
    </row>
    <row r="2063" spans="1:12" s="40" customFormat="1" ht="18" customHeight="1" x14ac:dyDescent="0.15">
      <c r="A2063" s="25">
        <v>5318</v>
      </c>
      <c r="B2063" s="25" t="s">
        <v>536</v>
      </c>
      <c r="C2063" s="25" t="s">
        <v>551</v>
      </c>
      <c r="D2063" s="25">
        <v>1</v>
      </c>
      <c r="E2063" s="25" t="s">
        <v>9</v>
      </c>
      <c r="F2063" s="38">
        <v>309000</v>
      </c>
      <c r="G2063" s="38" t="s">
        <v>667</v>
      </c>
      <c r="H2063" s="25" t="str">
        <f t="shared" si="68"/>
        <v>平成4年12月5日</v>
      </c>
      <c r="I2063" s="39">
        <f t="shared" si="67"/>
        <v>33943</v>
      </c>
      <c r="J2063" s="25" t="str">
        <f>"00747871"</f>
        <v>00747871</v>
      </c>
      <c r="K2063" s="25" t="str">
        <f>"４２１　　　　　　　　　　　　　　　　　"</f>
        <v>４２１　　　　　　　　　　　　　　　　　</v>
      </c>
      <c r="L2063" s="25"/>
    </row>
    <row r="2064" spans="1:12" s="40" customFormat="1" ht="18" customHeight="1" x14ac:dyDescent="0.15">
      <c r="A2064" s="25">
        <v>5319</v>
      </c>
      <c r="B2064" s="25" t="s">
        <v>536</v>
      </c>
      <c r="C2064" s="25" t="s">
        <v>551</v>
      </c>
      <c r="D2064" s="25">
        <v>1</v>
      </c>
      <c r="E2064" s="25" t="s">
        <v>9</v>
      </c>
      <c r="F2064" s="38">
        <v>309000</v>
      </c>
      <c r="G2064" s="38" t="s">
        <v>667</v>
      </c>
      <c r="H2064" s="25" t="str">
        <f t="shared" si="68"/>
        <v>平成4年12月5日</v>
      </c>
      <c r="I2064" s="39">
        <f t="shared" si="67"/>
        <v>33943</v>
      </c>
      <c r="J2064" s="25" t="str">
        <f>"00747873"</f>
        <v>00747873</v>
      </c>
      <c r="K2064" s="25" t="str">
        <f>"４２２　　　　　　　　　　　　　　　　　"</f>
        <v>４２２　　　　　　　　　　　　　　　　　</v>
      </c>
      <c r="L2064" s="25"/>
    </row>
    <row r="2065" spans="1:12" s="40" customFormat="1" ht="18" customHeight="1" x14ac:dyDescent="0.15">
      <c r="A2065" s="25">
        <v>5320</v>
      </c>
      <c r="B2065" s="25" t="s">
        <v>536</v>
      </c>
      <c r="C2065" s="25" t="s">
        <v>551</v>
      </c>
      <c r="D2065" s="25">
        <v>1</v>
      </c>
      <c r="E2065" s="25" t="s">
        <v>9</v>
      </c>
      <c r="F2065" s="38">
        <v>309000</v>
      </c>
      <c r="G2065" s="38" t="s">
        <v>667</v>
      </c>
      <c r="H2065" s="25" t="str">
        <f t="shared" si="68"/>
        <v>平成4年12月5日</v>
      </c>
      <c r="I2065" s="39">
        <f t="shared" si="67"/>
        <v>33943</v>
      </c>
      <c r="J2065" s="25" t="str">
        <f>"00747875"</f>
        <v>00747875</v>
      </c>
      <c r="K2065" s="25" t="str">
        <f>"４２３　　　　　　　　　　　　　　　　　"</f>
        <v>４２３　　　　　　　　　　　　　　　　　</v>
      </c>
      <c r="L2065" s="25"/>
    </row>
    <row r="2066" spans="1:12" s="40" customFormat="1" ht="18" customHeight="1" x14ac:dyDescent="0.15">
      <c r="A2066" s="25">
        <v>5321</v>
      </c>
      <c r="B2066" s="25" t="s">
        <v>536</v>
      </c>
      <c r="C2066" s="25" t="s">
        <v>551</v>
      </c>
      <c r="D2066" s="25">
        <v>1</v>
      </c>
      <c r="E2066" s="25" t="s">
        <v>9</v>
      </c>
      <c r="F2066" s="38">
        <v>309000</v>
      </c>
      <c r="G2066" s="38" t="s">
        <v>667</v>
      </c>
      <c r="H2066" s="25" t="str">
        <f t="shared" si="68"/>
        <v>平成4年12月5日</v>
      </c>
      <c r="I2066" s="39">
        <f t="shared" ref="I2066:I2129" si="69">DATEVALUE(H2066)</f>
        <v>33943</v>
      </c>
      <c r="J2066" s="25" t="str">
        <f>"00747877"</f>
        <v>00747877</v>
      </c>
      <c r="K2066" s="25" t="str">
        <f>"４２４　　　　　　　　　　　　　　　　　"</f>
        <v>４２４　　　　　　　　　　　　　　　　　</v>
      </c>
      <c r="L2066" s="25"/>
    </row>
    <row r="2067" spans="1:12" s="40" customFormat="1" ht="18" customHeight="1" x14ac:dyDescent="0.15">
      <c r="A2067" s="25">
        <v>5322</v>
      </c>
      <c r="B2067" s="25" t="s">
        <v>536</v>
      </c>
      <c r="C2067" s="25" t="s">
        <v>551</v>
      </c>
      <c r="D2067" s="25">
        <v>1</v>
      </c>
      <c r="E2067" s="25" t="s">
        <v>9</v>
      </c>
      <c r="F2067" s="38">
        <v>309000</v>
      </c>
      <c r="G2067" s="38" t="s">
        <v>667</v>
      </c>
      <c r="H2067" s="25" t="str">
        <f t="shared" si="68"/>
        <v>平成4年12月5日</v>
      </c>
      <c r="I2067" s="39">
        <f t="shared" si="69"/>
        <v>33943</v>
      </c>
      <c r="J2067" s="25" t="str">
        <f>"00747879"</f>
        <v>00747879</v>
      </c>
      <c r="K2067" s="25" t="str">
        <f>"４２５　　　　　　　　　　　　　　　　　"</f>
        <v>４２５　　　　　　　　　　　　　　　　　</v>
      </c>
      <c r="L2067" s="25"/>
    </row>
    <row r="2068" spans="1:12" s="40" customFormat="1" ht="18" customHeight="1" x14ac:dyDescent="0.15">
      <c r="A2068" s="25">
        <v>5323</v>
      </c>
      <c r="B2068" s="25" t="s">
        <v>536</v>
      </c>
      <c r="C2068" s="25" t="s">
        <v>551</v>
      </c>
      <c r="D2068" s="25">
        <v>1</v>
      </c>
      <c r="E2068" s="25" t="s">
        <v>9</v>
      </c>
      <c r="F2068" s="38">
        <v>309000</v>
      </c>
      <c r="G2068" s="38" t="s">
        <v>667</v>
      </c>
      <c r="H2068" s="25" t="str">
        <f t="shared" si="68"/>
        <v>平成4年12月5日</v>
      </c>
      <c r="I2068" s="39">
        <f t="shared" si="69"/>
        <v>33943</v>
      </c>
      <c r="J2068" s="25" t="str">
        <f>"00747881"</f>
        <v>00747881</v>
      </c>
      <c r="K2068" s="25" t="str">
        <f>"４２６　　　　　　　　　　　　　　　　　"</f>
        <v>４２６　　　　　　　　　　　　　　　　　</v>
      </c>
      <c r="L2068" s="25"/>
    </row>
    <row r="2069" spans="1:12" s="40" customFormat="1" ht="18" customHeight="1" x14ac:dyDescent="0.15">
      <c r="A2069" s="25">
        <v>5324</v>
      </c>
      <c r="B2069" s="25" t="s">
        <v>536</v>
      </c>
      <c r="C2069" s="25" t="s">
        <v>551</v>
      </c>
      <c r="D2069" s="25">
        <v>1</v>
      </c>
      <c r="E2069" s="25" t="s">
        <v>9</v>
      </c>
      <c r="F2069" s="38">
        <v>309000</v>
      </c>
      <c r="G2069" s="38" t="s">
        <v>667</v>
      </c>
      <c r="H2069" s="25" t="str">
        <f t="shared" si="68"/>
        <v>平成4年12月5日</v>
      </c>
      <c r="I2069" s="39">
        <f t="shared" si="69"/>
        <v>33943</v>
      </c>
      <c r="J2069" s="25" t="str">
        <f>"00747883"</f>
        <v>00747883</v>
      </c>
      <c r="K2069" s="25" t="str">
        <f>"４２７　　　　　　　　　　　　　　　　　"</f>
        <v>４２７　　　　　　　　　　　　　　　　　</v>
      </c>
      <c r="L2069" s="25"/>
    </row>
    <row r="2070" spans="1:12" s="40" customFormat="1" ht="18" customHeight="1" x14ac:dyDescent="0.15">
      <c r="A2070" s="25">
        <v>5325</v>
      </c>
      <c r="B2070" s="25" t="s">
        <v>536</v>
      </c>
      <c r="C2070" s="25" t="s">
        <v>551</v>
      </c>
      <c r="D2070" s="25">
        <v>1</v>
      </c>
      <c r="E2070" s="25" t="s">
        <v>9</v>
      </c>
      <c r="F2070" s="38">
        <v>309000</v>
      </c>
      <c r="G2070" s="38" t="s">
        <v>667</v>
      </c>
      <c r="H2070" s="25" t="str">
        <f t="shared" si="68"/>
        <v>平成4年12月5日</v>
      </c>
      <c r="I2070" s="39">
        <f t="shared" si="69"/>
        <v>33943</v>
      </c>
      <c r="J2070" s="25" t="str">
        <f>"00747885"</f>
        <v>00747885</v>
      </c>
      <c r="K2070" s="25" t="str">
        <f>"４２８　　　　　　　　　　　　　　　　　"</f>
        <v>４２８　　　　　　　　　　　　　　　　　</v>
      </c>
      <c r="L2070" s="25"/>
    </row>
    <row r="2071" spans="1:12" s="40" customFormat="1" ht="18" customHeight="1" x14ac:dyDescent="0.15">
      <c r="A2071" s="25">
        <v>5326</v>
      </c>
      <c r="B2071" s="25" t="s">
        <v>536</v>
      </c>
      <c r="C2071" s="25" t="s">
        <v>551</v>
      </c>
      <c r="D2071" s="25">
        <v>1</v>
      </c>
      <c r="E2071" s="25" t="s">
        <v>9</v>
      </c>
      <c r="F2071" s="38">
        <v>309000</v>
      </c>
      <c r="G2071" s="38" t="s">
        <v>667</v>
      </c>
      <c r="H2071" s="25" t="str">
        <f t="shared" si="68"/>
        <v>平成4年12月5日</v>
      </c>
      <c r="I2071" s="39">
        <f t="shared" si="69"/>
        <v>33943</v>
      </c>
      <c r="J2071" s="25" t="str">
        <f>"00747887"</f>
        <v>00747887</v>
      </c>
      <c r="K2071" s="25" t="str">
        <f>"４２９　　　　　　　　　　　　　　　　　"</f>
        <v>４２９　　　　　　　　　　　　　　　　　</v>
      </c>
      <c r="L2071" s="25"/>
    </row>
    <row r="2072" spans="1:12" s="40" customFormat="1" ht="18" customHeight="1" x14ac:dyDescent="0.15">
      <c r="A2072" s="25">
        <v>5327</v>
      </c>
      <c r="B2072" s="25" t="s">
        <v>536</v>
      </c>
      <c r="C2072" s="25" t="s">
        <v>551</v>
      </c>
      <c r="D2072" s="25">
        <v>1</v>
      </c>
      <c r="E2072" s="25" t="s">
        <v>9</v>
      </c>
      <c r="F2072" s="38">
        <v>309000</v>
      </c>
      <c r="G2072" s="38" t="s">
        <v>667</v>
      </c>
      <c r="H2072" s="25" t="str">
        <f t="shared" si="68"/>
        <v>平成4年12月5日</v>
      </c>
      <c r="I2072" s="39">
        <f t="shared" si="69"/>
        <v>33943</v>
      </c>
      <c r="J2072" s="25" t="str">
        <f>"00747889"</f>
        <v>00747889</v>
      </c>
      <c r="K2072" s="25" t="str">
        <f>"４３０　　　　　　　　　　　　　　　　　"</f>
        <v>４３０　　　　　　　　　　　　　　　　　</v>
      </c>
      <c r="L2072" s="25"/>
    </row>
    <row r="2073" spans="1:12" s="40" customFormat="1" ht="18" customHeight="1" x14ac:dyDescent="0.15">
      <c r="A2073" s="25">
        <v>5328</v>
      </c>
      <c r="B2073" s="25" t="s">
        <v>536</v>
      </c>
      <c r="C2073" s="25" t="s">
        <v>551</v>
      </c>
      <c r="D2073" s="25">
        <v>1</v>
      </c>
      <c r="E2073" s="25" t="s">
        <v>9</v>
      </c>
      <c r="F2073" s="38">
        <v>309000</v>
      </c>
      <c r="G2073" s="38" t="s">
        <v>667</v>
      </c>
      <c r="H2073" s="25" t="str">
        <f t="shared" si="68"/>
        <v>平成4年12月5日</v>
      </c>
      <c r="I2073" s="39">
        <f t="shared" si="69"/>
        <v>33943</v>
      </c>
      <c r="J2073" s="25" t="str">
        <f>"00747891"</f>
        <v>00747891</v>
      </c>
      <c r="K2073" s="25" t="str">
        <f>"４３１　　　　　　　　　　　　　　　　　"</f>
        <v>４３１　　　　　　　　　　　　　　　　　</v>
      </c>
      <c r="L2073" s="25"/>
    </row>
    <row r="2074" spans="1:12" s="40" customFormat="1" ht="18" customHeight="1" x14ac:dyDescent="0.15">
      <c r="A2074" s="25">
        <v>5329</v>
      </c>
      <c r="B2074" s="25" t="s">
        <v>536</v>
      </c>
      <c r="C2074" s="25" t="s">
        <v>551</v>
      </c>
      <c r="D2074" s="25">
        <v>1</v>
      </c>
      <c r="E2074" s="25" t="s">
        <v>9</v>
      </c>
      <c r="F2074" s="38">
        <v>309000</v>
      </c>
      <c r="G2074" s="38" t="s">
        <v>667</v>
      </c>
      <c r="H2074" s="25" t="str">
        <f t="shared" si="68"/>
        <v>平成4年12月5日</v>
      </c>
      <c r="I2074" s="39">
        <f t="shared" si="69"/>
        <v>33943</v>
      </c>
      <c r="J2074" s="25" t="str">
        <f>"00747893"</f>
        <v>00747893</v>
      </c>
      <c r="K2074" s="25" t="str">
        <f>"４３２　　　　　　　　　　　　　　　　　"</f>
        <v>４３２　　　　　　　　　　　　　　　　　</v>
      </c>
      <c r="L2074" s="25"/>
    </row>
    <row r="2075" spans="1:12" s="40" customFormat="1" ht="18" customHeight="1" x14ac:dyDescent="0.15">
      <c r="A2075" s="25">
        <v>5330</v>
      </c>
      <c r="B2075" s="25" t="s">
        <v>536</v>
      </c>
      <c r="C2075" s="25" t="s">
        <v>551</v>
      </c>
      <c r="D2075" s="25">
        <v>1</v>
      </c>
      <c r="E2075" s="25" t="s">
        <v>9</v>
      </c>
      <c r="F2075" s="38">
        <v>309000</v>
      </c>
      <c r="G2075" s="38" t="s">
        <v>667</v>
      </c>
      <c r="H2075" s="25" t="str">
        <f t="shared" si="68"/>
        <v>平成4年12月5日</v>
      </c>
      <c r="I2075" s="39">
        <f t="shared" si="69"/>
        <v>33943</v>
      </c>
      <c r="J2075" s="25" t="str">
        <f>"00747895"</f>
        <v>00747895</v>
      </c>
      <c r="K2075" s="25" t="str">
        <f>"４３３　　　　　　　　　　　　　　　　　"</f>
        <v>４３３　　　　　　　　　　　　　　　　　</v>
      </c>
      <c r="L2075" s="25"/>
    </row>
    <row r="2076" spans="1:12" s="40" customFormat="1" ht="18" customHeight="1" x14ac:dyDescent="0.15">
      <c r="A2076" s="25">
        <v>5331</v>
      </c>
      <c r="B2076" s="25" t="s">
        <v>536</v>
      </c>
      <c r="C2076" s="25" t="s">
        <v>551</v>
      </c>
      <c r="D2076" s="25">
        <v>1</v>
      </c>
      <c r="E2076" s="25" t="s">
        <v>9</v>
      </c>
      <c r="F2076" s="38">
        <v>309000</v>
      </c>
      <c r="G2076" s="38" t="s">
        <v>667</v>
      </c>
      <c r="H2076" s="25" t="str">
        <f t="shared" si="68"/>
        <v>平成4年12月5日</v>
      </c>
      <c r="I2076" s="39">
        <f t="shared" si="69"/>
        <v>33943</v>
      </c>
      <c r="J2076" s="25" t="str">
        <f>"00747897"</f>
        <v>00747897</v>
      </c>
      <c r="K2076" s="25" t="str">
        <f>"４３４　　　　　　　　　　　　　　　　　"</f>
        <v>４３４　　　　　　　　　　　　　　　　　</v>
      </c>
      <c r="L2076" s="25"/>
    </row>
    <row r="2077" spans="1:12" s="40" customFormat="1" ht="18" customHeight="1" x14ac:dyDescent="0.15">
      <c r="A2077" s="25">
        <v>5332</v>
      </c>
      <c r="B2077" s="25" t="s">
        <v>536</v>
      </c>
      <c r="C2077" s="25" t="s">
        <v>551</v>
      </c>
      <c r="D2077" s="25">
        <v>1</v>
      </c>
      <c r="E2077" s="25" t="s">
        <v>9</v>
      </c>
      <c r="F2077" s="38">
        <v>309000</v>
      </c>
      <c r="G2077" s="38" t="s">
        <v>667</v>
      </c>
      <c r="H2077" s="25" t="str">
        <f t="shared" si="68"/>
        <v>平成4年12月5日</v>
      </c>
      <c r="I2077" s="39">
        <f t="shared" si="69"/>
        <v>33943</v>
      </c>
      <c r="J2077" s="25" t="str">
        <f>"00747899"</f>
        <v>00747899</v>
      </c>
      <c r="K2077" s="25" t="str">
        <f>"４３５　　　　　　　　　　　　　　　　　"</f>
        <v>４３５　　　　　　　　　　　　　　　　　</v>
      </c>
      <c r="L2077" s="25"/>
    </row>
    <row r="2078" spans="1:12" s="40" customFormat="1" ht="18" customHeight="1" x14ac:dyDescent="0.15">
      <c r="A2078" s="25">
        <v>5333</v>
      </c>
      <c r="B2078" s="25" t="s">
        <v>536</v>
      </c>
      <c r="C2078" s="25" t="s">
        <v>551</v>
      </c>
      <c r="D2078" s="25">
        <v>1</v>
      </c>
      <c r="E2078" s="25" t="s">
        <v>9</v>
      </c>
      <c r="F2078" s="38">
        <v>309000</v>
      </c>
      <c r="G2078" s="38" t="s">
        <v>667</v>
      </c>
      <c r="H2078" s="25" t="str">
        <f t="shared" si="68"/>
        <v>平成4年12月5日</v>
      </c>
      <c r="I2078" s="39">
        <f t="shared" si="69"/>
        <v>33943</v>
      </c>
      <c r="J2078" s="25" t="str">
        <f>"00747901"</f>
        <v>00747901</v>
      </c>
      <c r="K2078" s="25" t="str">
        <f>"４３６　　　　　　　　　　　　　　　　　"</f>
        <v>４３６　　　　　　　　　　　　　　　　　</v>
      </c>
      <c r="L2078" s="25"/>
    </row>
    <row r="2079" spans="1:12" s="40" customFormat="1" ht="18" customHeight="1" x14ac:dyDescent="0.15">
      <c r="A2079" s="25">
        <v>5334</v>
      </c>
      <c r="B2079" s="25" t="s">
        <v>536</v>
      </c>
      <c r="C2079" s="25" t="s">
        <v>551</v>
      </c>
      <c r="D2079" s="25">
        <v>1</v>
      </c>
      <c r="E2079" s="25" t="s">
        <v>9</v>
      </c>
      <c r="F2079" s="38">
        <v>309000</v>
      </c>
      <c r="G2079" s="38" t="s">
        <v>667</v>
      </c>
      <c r="H2079" s="25" t="str">
        <f t="shared" si="68"/>
        <v>平成4年12月5日</v>
      </c>
      <c r="I2079" s="39">
        <f t="shared" si="69"/>
        <v>33943</v>
      </c>
      <c r="J2079" s="25" t="str">
        <f>"00747903"</f>
        <v>00747903</v>
      </c>
      <c r="K2079" s="25" t="str">
        <f>"４３７　　　　　　　　　　　　　　　　　"</f>
        <v>４３７　　　　　　　　　　　　　　　　　</v>
      </c>
      <c r="L2079" s="25"/>
    </row>
    <row r="2080" spans="1:12" s="40" customFormat="1" ht="18" customHeight="1" x14ac:dyDescent="0.15">
      <c r="A2080" s="25">
        <v>5335</v>
      </c>
      <c r="B2080" s="25" t="s">
        <v>536</v>
      </c>
      <c r="C2080" s="25" t="s">
        <v>552</v>
      </c>
      <c r="D2080" s="25">
        <v>1</v>
      </c>
      <c r="E2080" s="25" t="s">
        <v>9</v>
      </c>
      <c r="F2080" s="38">
        <v>329600</v>
      </c>
      <c r="G2080" s="38" t="s">
        <v>667</v>
      </c>
      <c r="H2080" s="25" t="str">
        <f t="shared" si="68"/>
        <v>平成4年12月5日</v>
      </c>
      <c r="I2080" s="39">
        <f t="shared" si="69"/>
        <v>33943</v>
      </c>
      <c r="J2080" s="25" t="str">
        <f>"00747905"</f>
        <v>00747905</v>
      </c>
      <c r="K2080" s="25" t="str">
        <f>"４３８　　　　　　　　　　　　　　　　　"</f>
        <v>４３８　　　　　　　　　　　　　　　　　</v>
      </c>
      <c r="L2080" s="25"/>
    </row>
    <row r="2081" spans="1:12" s="40" customFormat="1" ht="18" customHeight="1" x14ac:dyDescent="0.15">
      <c r="A2081" s="25">
        <v>5336</v>
      </c>
      <c r="B2081" s="25" t="s">
        <v>536</v>
      </c>
      <c r="C2081" s="25" t="s">
        <v>552</v>
      </c>
      <c r="D2081" s="25">
        <v>1</v>
      </c>
      <c r="E2081" s="25" t="s">
        <v>9</v>
      </c>
      <c r="F2081" s="38">
        <v>329600</v>
      </c>
      <c r="G2081" s="38" t="s">
        <v>667</v>
      </c>
      <c r="H2081" s="25" t="str">
        <f t="shared" si="68"/>
        <v>平成4年12月5日</v>
      </c>
      <c r="I2081" s="39">
        <f t="shared" si="69"/>
        <v>33943</v>
      </c>
      <c r="J2081" s="25" t="str">
        <f>"00747907"</f>
        <v>00747907</v>
      </c>
      <c r="K2081" s="25" t="str">
        <f>"４３９　　　　　　　　　　　　　　　　　"</f>
        <v>４３９　　　　　　　　　　　　　　　　　</v>
      </c>
      <c r="L2081" s="25"/>
    </row>
    <row r="2082" spans="1:12" s="40" customFormat="1" ht="18" customHeight="1" x14ac:dyDescent="0.15">
      <c r="A2082" s="25">
        <v>5337</v>
      </c>
      <c r="B2082" s="25" t="s">
        <v>536</v>
      </c>
      <c r="C2082" s="25" t="s">
        <v>552</v>
      </c>
      <c r="D2082" s="25">
        <v>1</v>
      </c>
      <c r="E2082" s="25" t="s">
        <v>9</v>
      </c>
      <c r="F2082" s="38">
        <v>329600</v>
      </c>
      <c r="G2082" s="38" t="s">
        <v>667</v>
      </c>
      <c r="H2082" s="25" t="str">
        <f t="shared" si="68"/>
        <v>平成4年12月5日</v>
      </c>
      <c r="I2082" s="39">
        <f t="shared" si="69"/>
        <v>33943</v>
      </c>
      <c r="J2082" s="25" t="str">
        <f>"00747909"</f>
        <v>00747909</v>
      </c>
      <c r="K2082" s="25" t="str">
        <f>"４４０　　　　　　　　　　　　　　　　　"</f>
        <v>４４０　　　　　　　　　　　　　　　　　</v>
      </c>
      <c r="L2082" s="25"/>
    </row>
    <row r="2083" spans="1:12" s="40" customFormat="1" ht="18" customHeight="1" x14ac:dyDescent="0.15">
      <c r="A2083" s="25">
        <v>5338</v>
      </c>
      <c r="B2083" s="25" t="s">
        <v>536</v>
      </c>
      <c r="C2083" s="25" t="s">
        <v>553</v>
      </c>
      <c r="D2083" s="25">
        <v>1</v>
      </c>
      <c r="E2083" s="25" t="s">
        <v>9</v>
      </c>
      <c r="F2083" s="38">
        <v>325500</v>
      </c>
      <c r="G2083" s="38" t="s">
        <v>667</v>
      </c>
      <c r="H2083" s="25" t="str">
        <f t="shared" si="68"/>
        <v>平成4年12月5日</v>
      </c>
      <c r="I2083" s="39">
        <f t="shared" si="69"/>
        <v>33943</v>
      </c>
      <c r="J2083" s="25" t="str">
        <f>"00747911"</f>
        <v>00747911</v>
      </c>
      <c r="K2083" s="25" t="str">
        <f>"４４１　　　　　　　　　　　　　　　　　"</f>
        <v>４４１　　　　　　　　　　　　　　　　　</v>
      </c>
      <c r="L2083" s="25"/>
    </row>
    <row r="2084" spans="1:12" s="40" customFormat="1" ht="18" customHeight="1" x14ac:dyDescent="0.15">
      <c r="A2084" s="25">
        <v>5339</v>
      </c>
      <c r="B2084" s="25" t="s">
        <v>536</v>
      </c>
      <c r="C2084" s="25" t="s">
        <v>554</v>
      </c>
      <c r="D2084" s="25">
        <v>1</v>
      </c>
      <c r="E2084" s="25" t="s">
        <v>9</v>
      </c>
      <c r="F2084" s="38">
        <v>230800</v>
      </c>
      <c r="G2084" s="38" t="s">
        <v>667</v>
      </c>
      <c r="H2084" s="25" t="str">
        <f t="shared" si="68"/>
        <v>平成4年12月5日</v>
      </c>
      <c r="I2084" s="39">
        <f t="shared" si="69"/>
        <v>33943</v>
      </c>
      <c r="J2084" s="25" t="str">
        <f>"00747913"</f>
        <v>00747913</v>
      </c>
      <c r="K2084" s="25" t="str">
        <f>"４４２　　　　　　　　　　　　　　　　　"</f>
        <v>４４２　　　　　　　　　　　　　　　　　</v>
      </c>
      <c r="L2084" s="25"/>
    </row>
    <row r="2085" spans="1:12" s="40" customFormat="1" ht="18" customHeight="1" x14ac:dyDescent="0.15">
      <c r="A2085" s="25">
        <v>5340</v>
      </c>
      <c r="B2085" s="25" t="s">
        <v>536</v>
      </c>
      <c r="C2085" s="25" t="s">
        <v>555</v>
      </c>
      <c r="D2085" s="25">
        <v>1</v>
      </c>
      <c r="E2085" s="25" t="s">
        <v>9</v>
      </c>
      <c r="F2085" s="38">
        <v>230800</v>
      </c>
      <c r="G2085" s="38" t="s">
        <v>667</v>
      </c>
      <c r="H2085" s="25" t="str">
        <f t="shared" si="68"/>
        <v>平成4年12月5日</v>
      </c>
      <c r="I2085" s="39">
        <f t="shared" si="69"/>
        <v>33943</v>
      </c>
      <c r="J2085" s="25" t="str">
        <f>"00747915"</f>
        <v>00747915</v>
      </c>
      <c r="K2085" s="25" t="str">
        <f>"４４３　　　　　　　　　　　　　　　　　"</f>
        <v>４４３　　　　　　　　　　　　　　　　　</v>
      </c>
      <c r="L2085" s="25"/>
    </row>
    <row r="2086" spans="1:12" s="40" customFormat="1" ht="18" customHeight="1" x14ac:dyDescent="0.15">
      <c r="A2086" s="25">
        <v>5341</v>
      </c>
      <c r="B2086" s="25" t="s">
        <v>536</v>
      </c>
      <c r="C2086" s="25" t="s">
        <v>555</v>
      </c>
      <c r="D2086" s="25">
        <v>1</v>
      </c>
      <c r="E2086" s="25" t="s">
        <v>9</v>
      </c>
      <c r="F2086" s="38">
        <v>230800</v>
      </c>
      <c r="G2086" s="38" t="s">
        <v>667</v>
      </c>
      <c r="H2086" s="25" t="str">
        <f t="shared" si="68"/>
        <v>平成4年12月5日</v>
      </c>
      <c r="I2086" s="39">
        <f t="shared" si="69"/>
        <v>33943</v>
      </c>
      <c r="J2086" s="25" t="str">
        <f>"00747917"</f>
        <v>00747917</v>
      </c>
      <c r="K2086" s="25" t="str">
        <f>"４４４　　　　　　　　　　　　　　　　　"</f>
        <v>４４４　　　　　　　　　　　　　　　　　</v>
      </c>
      <c r="L2086" s="25"/>
    </row>
    <row r="2087" spans="1:12" s="40" customFormat="1" ht="18" customHeight="1" x14ac:dyDescent="0.15">
      <c r="A2087" s="25">
        <v>5342</v>
      </c>
      <c r="B2087" s="25" t="s">
        <v>536</v>
      </c>
      <c r="C2087" s="25" t="s">
        <v>555</v>
      </c>
      <c r="D2087" s="25">
        <v>1</v>
      </c>
      <c r="E2087" s="25" t="s">
        <v>9</v>
      </c>
      <c r="F2087" s="38">
        <v>230800</v>
      </c>
      <c r="G2087" s="38" t="s">
        <v>667</v>
      </c>
      <c r="H2087" s="25" t="str">
        <f t="shared" si="68"/>
        <v>平成4年12月5日</v>
      </c>
      <c r="I2087" s="39">
        <f t="shared" si="69"/>
        <v>33943</v>
      </c>
      <c r="J2087" s="25" t="str">
        <f>"00747919"</f>
        <v>00747919</v>
      </c>
      <c r="K2087" s="25" t="str">
        <f>"４４５　　　　　　　　　　　　　　　　　"</f>
        <v>４４５　　　　　　　　　　　　　　　　　</v>
      </c>
      <c r="L2087" s="25"/>
    </row>
    <row r="2088" spans="1:12" s="40" customFormat="1" ht="18" customHeight="1" x14ac:dyDescent="0.15">
      <c r="A2088" s="25">
        <v>5343</v>
      </c>
      <c r="B2088" s="25" t="s">
        <v>536</v>
      </c>
      <c r="C2088" s="25" t="s">
        <v>556</v>
      </c>
      <c r="D2088" s="25">
        <v>1</v>
      </c>
      <c r="E2088" s="25" t="s">
        <v>9</v>
      </c>
      <c r="F2088" s="38">
        <v>292600</v>
      </c>
      <c r="G2088" s="38" t="s">
        <v>667</v>
      </c>
      <c r="H2088" s="25" t="str">
        <f t="shared" si="68"/>
        <v>平成4年12月5日</v>
      </c>
      <c r="I2088" s="39">
        <f t="shared" si="69"/>
        <v>33943</v>
      </c>
      <c r="J2088" s="25" t="str">
        <f>"00747921"</f>
        <v>00747921</v>
      </c>
      <c r="K2088" s="25" t="str">
        <f>"４４６　　　　　　　　　　　　　　　　　"</f>
        <v>４４６　　　　　　　　　　　　　　　　　</v>
      </c>
      <c r="L2088" s="25"/>
    </row>
    <row r="2089" spans="1:12" s="40" customFormat="1" ht="18" customHeight="1" x14ac:dyDescent="0.15">
      <c r="A2089" s="25">
        <v>5344</v>
      </c>
      <c r="B2089" s="25" t="s">
        <v>536</v>
      </c>
      <c r="C2089" s="25" t="s">
        <v>556</v>
      </c>
      <c r="D2089" s="25">
        <v>1</v>
      </c>
      <c r="E2089" s="25" t="s">
        <v>9</v>
      </c>
      <c r="F2089" s="38">
        <v>292600</v>
      </c>
      <c r="G2089" s="38" t="s">
        <v>667</v>
      </c>
      <c r="H2089" s="25" t="str">
        <f t="shared" si="68"/>
        <v>平成4年12月5日</v>
      </c>
      <c r="I2089" s="39">
        <f t="shared" si="69"/>
        <v>33943</v>
      </c>
      <c r="J2089" s="25" t="str">
        <f>"00747923"</f>
        <v>00747923</v>
      </c>
      <c r="K2089" s="25" t="str">
        <f>"４４７　　　　　　　　　　　　　　　　　"</f>
        <v>４４７　　　　　　　　　　　　　　　　　</v>
      </c>
      <c r="L2089" s="25"/>
    </row>
    <row r="2090" spans="1:12" s="40" customFormat="1" ht="18" customHeight="1" x14ac:dyDescent="0.15">
      <c r="A2090" s="25">
        <v>5345</v>
      </c>
      <c r="B2090" s="25" t="s">
        <v>536</v>
      </c>
      <c r="C2090" s="25" t="s">
        <v>557</v>
      </c>
      <c r="D2090" s="25">
        <v>1</v>
      </c>
      <c r="E2090" s="25" t="s">
        <v>9</v>
      </c>
      <c r="F2090" s="38">
        <v>346100</v>
      </c>
      <c r="G2090" s="38" t="s">
        <v>667</v>
      </c>
      <c r="H2090" s="25" t="str">
        <f t="shared" si="68"/>
        <v>平成4年12月5日</v>
      </c>
      <c r="I2090" s="39">
        <f t="shared" si="69"/>
        <v>33943</v>
      </c>
      <c r="J2090" s="25" t="str">
        <f>"00747925"</f>
        <v>00747925</v>
      </c>
      <c r="K2090" s="25" t="str">
        <f>"４４８　　　　　　　　　　　　　　　　　"</f>
        <v>４４８　　　　　　　　　　　　　　　　　</v>
      </c>
      <c r="L2090" s="25"/>
    </row>
    <row r="2091" spans="1:12" s="40" customFormat="1" ht="18" customHeight="1" x14ac:dyDescent="0.15">
      <c r="A2091" s="25">
        <v>5346</v>
      </c>
      <c r="B2091" s="25" t="s">
        <v>536</v>
      </c>
      <c r="C2091" s="25" t="s">
        <v>557</v>
      </c>
      <c r="D2091" s="25">
        <v>1</v>
      </c>
      <c r="E2091" s="25" t="s">
        <v>9</v>
      </c>
      <c r="F2091" s="38">
        <v>346100</v>
      </c>
      <c r="G2091" s="38" t="s">
        <v>667</v>
      </c>
      <c r="H2091" s="25" t="str">
        <f t="shared" si="68"/>
        <v>平成4年12月5日</v>
      </c>
      <c r="I2091" s="39">
        <f t="shared" si="69"/>
        <v>33943</v>
      </c>
      <c r="J2091" s="25" t="str">
        <f>"00747927"</f>
        <v>00747927</v>
      </c>
      <c r="K2091" s="25" t="str">
        <f>"４４９　　　　　　　　　　　　　　　　　"</f>
        <v>４４９　　　　　　　　　　　　　　　　　</v>
      </c>
      <c r="L2091" s="25"/>
    </row>
    <row r="2092" spans="1:12" ht="18" customHeight="1" x14ac:dyDescent="0.15">
      <c r="A2092" s="1">
        <v>5347</v>
      </c>
      <c r="B2092" s="11" t="s">
        <v>536</v>
      </c>
      <c r="C2092" s="11" t="s">
        <v>558</v>
      </c>
      <c r="D2092" s="11">
        <v>1</v>
      </c>
      <c r="E2092" s="11" t="s">
        <v>9</v>
      </c>
      <c r="F2092" s="12">
        <v>815800</v>
      </c>
      <c r="G2092" s="12">
        <v>815800</v>
      </c>
      <c r="H2092" s="11" t="str">
        <f t="shared" si="68"/>
        <v>平成4年12月5日</v>
      </c>
      <c r="I2092" s="22">
        <f t="shared" si="69"/>
        <v>33943</v>
      </c>
      <c r="J2092" s="1" t="str">
        <f>"00747929"</f>
        <v>00747929</v>
      </c>
      <c r="K2092" s="1" t="str">
        <f>"４５０　　　　　　　　　　　　　　　　　"</f>
        <v>４５０　　　　　　　　　　　　　　　　　</v>
      </c>
      <c r="L2092" s="1"/>
    </row>
    <row r="2093" spans="1:12" ht="18" customHeight="1" x14ac:dyDescent="0.15">
      <c r="A2093" s="1">
        <v>5348</v>
      </c>
      <c r="B2093" s="11" t="s">
        <v>536</v>
      </c>
      <c r="C2093" s="11" t="s">
        <v>559</v>
      </c>
      <c r="D2093" s="11">
        <v>1</v>
      </c>
      <c r="E2093" s="11" t="s">
        <v>9</v>
      </c>
      <c r="F2093" s="12">
        <v>63900</v>
      </c>
      <c r="G2093" s="12">
        <v>63900</v>
      </c>
      <c r="H2093" s="11" t="str">
        <f t="shared" si="68"/>
        <v>平成4年12月5日</v>
      </c>
      <c r="I2093" s="22">
        <f t="shared" si="69"/>
        <v>33943</v>
      </c>
      <c r="J2093" s="1" t="str">
        <f>"00747931"</f>
        <v>00747931</v>
      </c>
      <c r="K2093" s="1" t="str">
        <f>"４５１　　　　　　　　　　　　　　　　　"</f>
        <v>４５１　　　　　　　　　　　　　　　　　</v>
      </c>
      <c r="L2093" s="1"/>
    </row>
    <row r="2094" spans="1:12" ht="18" customHeight="1" x14ac:dyDescent="0.15">
      <c r="A2094" s="1">
        <v>5349</v>
      </c>
      <c r="B2094" s="11" t="s">
        <v>536</v>
      </c>
      <c r="C2094" s="11" t="s">
        <v>560</v>
      </c>
      <c r="D2094" s="11">
        <v>1</v>
      </c>
      <c r="E2094" s="11" t="s">
        <v>9</v>
      </c>
      <c r="F2094" s="12">
        <v>263700</v>
      </c>
      <c r="G2094" s="12">
        <v>263700</v>
      </c>
      <c r="H2094" s="11" t="str">
        <f t="shared" ref="H2094:H2157" si="70">"平成4年12月5日"</f>
        <v>平成4年12月5日</v>
      </c>
      <c r="I2094" s="22">
        <f t="shared" si="69"/>
        <v>33943</v>
      </c>
      <c r="J2094" s="1" t="str">
        <f>"00747933"</f>
        <v>00747933</v>
      </c>
      <c r="K2094" s="1" t="str">
        <f>"４５２　　　　　　　　　　　　　　　　　"</f>
        <v>４５２　　　　　　　　　　　　　　　　　</v>
      </c>
      <c r="L2094" s="1"/>
    </row>
    <row r="2095" spans="1:12" ht="18" customHeight="1" x14ac:dyDescent="0.15">
      <c r="A2095" s="1">
        <v>5350</v>
      </c>
      <c r="B2095" s="11" t="s">
        <v>536</v>
      </c>
      <c r="C2095" s="11" t="s">
        <v>560</v>
      </c>
      <c r="D2095" s="11">
        <v>1</v>
      </c>
      <c r="E2095" s="11" t="s">
        <v>9</v>
      </c>
      <c r="F2095" s="12">
        <v>263700</v>
      </c>
      <c r="G2095" s="12">
        <v>263700</v>
      </c>
      <c r="H2095" s="11" t="str">
        <f t="shared" si="70"/>
        <v>平成4年12月5日</v>
      </c>
      <c r="I2095" s="22">
        <f t="shared" si="69"/>
        <v>33943</v>
      </c>
      <c r="J2095" s="1" t="str">
        <f>"00747935"</f>
        <v>00747935</v>
      </c>
      <c r="K2095" s="1" t="str">
        <f>"４５３　　　　　　　　　　　　　　　　　"</f>
        <v>４５３　　　　　　　　　　　　　　　　　</v>
      </c>
      <c r="L2095" s="1"/>
    </row>
    <row r="2096" spans="1:12" ht="18" customHeight="1" x14ac:dyDescent="0.15">
      <c r="A2096" s="1">
        <v>5351</v>
      </c>
      <c r="B2096" s="11" t="s">
        <v>536</v>
      </c>
      <c r="C2096" s="11" t="s">
        <v>560</v>
      </c>
      <c r="D2096" s="11">
        <v>1</v>
      </c>
      <c r="E2096" s="11" t="s">
        <v>9</v>
      </c>
      <c r="F2096" s="12">
        <v>263700</v>
      </c>
      <c r="G2096" s="12">
        <v>263700</v>
      </c>
      <c r="H2096" s="11" t="str">
        <f t="shared" si="70"/>
        <v>平成4年12月5日</v>
      </c>
      <c r="I2096" s="22">
        <f t="shared" si="69"/>
        <v>33943</v>
      </c>
      <c r="J2096" s="1" t="str">
        <f>"00747937"</f>
        <v>00747937</v>
      </c>
      <c r="K2096" s="1" t="str">
        <f>"４５４　　　　　　　　　　　　　　　　　"</f>
        <v>４５４　　　　　　　　　　　　　　　　　</v>
      </c>
      <c r="L2096" s="1"/>
    </row>
    <row r="2097" spans="1:12" ht="18" customHeight="1" x14ac:dyDescent="0.15">
      <c r="A2097" s="1">
        <v>5352</v>
      </c>
      <c r="B2097" s="11" t="s">
        <v>536</v>
      </c>
      <c r="C2097" s="11" t="s">
        <v>560</v>
      </c>
      <c r="D2097" s="11">
        <v>1</v>
      </c>
      <c r="E2097" s="11" t="s">
        <v>9</v>
      </c>
      <c r="F2097" s="12">
        <v>263700</v>
      </c>
      <c r="G2097" s="12">
        <v>263700</v>
      </c>
      <c r="H2097" s="11" t="str">
        <f t="shared" si="70"/>
        <v>平成4年12月5日</v>
      </c>
      <c r="I2097" s="22">
        <f t="shared" si="69"/>
        <v>33943</v>
      </c>
      <c r="J2097" s="1" t="str">
        <f>"00747939"</f>
        <v>00747939</v>
      </c>
      <c r="K2097" s="1" t="str">
        <f>"４５５　　　　　　　　　　　　　　　　　"</f>
        <v>４５５　　　　　　　　　　　　　　　　　</v>
      </c>
      <c r="L2097" s="1"/>
    </row>
    <row r="2098" spans="1:12" ht="18" customHeight="1" x14ac:dyDescent="0.15">
      <c r="A2098" s="1">
        <v>5353</v>
      </c>
      <c r="B2098" s="11" t="s">
        <v>536</v>
      </c>
      <c r="C2098" s="11" t="s">
        <v>561</v>
      </c>
      <c r="D2098" s="11">
        <v>1</v>
      </c>
      <c r="E2098" s="11" t="s">
        <v>9</v>
      </c>
      <c r="F2098" s="12">
        <v>890000</v>
      </c>
      <c r="G2098" s="12">
        <v>890000</v>
      </c>
      <c r="H2098" s="11" t="str">
        <f t="shared" si="70"/>
        <v>平成4年12月5日</v>
      </c>
      <c r="I2098" s="22">
        <f t="shared" si="69"/>
        <v>33943</v>
      </c>
      <c r="J2098" s="1" t="str">
        <f>"00747941"</f>
        <v>00747941</v>
      </c>
      <c r="K2098" s="1" t="str">
        <f>"４５６　　　　　　　　　　　　　　　　　"</f>
        <v>４５６　　　　　　　　　　　　　　　　　</v>
      </c>
      <c r="L2098" s="1"/>
    </row>
    <row r="2099" spans="1:12" ht="18" customHeight="1" x14ac:dyDescent="0.15">
      <c r="A2099" s="1">
        <v>5354</v>
      </c>
      <c r="B2099" s="11" t="s">
        <v>536</v>
      </c>
      <c r="C2099" s="11" t="s">
        <v>562</v>
      </c>
      <c r="D2099" s="11">
        <v>1</v>
      </c>
      <c r="E2099" s="11" t="s">
        <v>9</v>
      </c>
      <c r="F2099" s="12">
        <v>38200</v>
      </c>
      <c r="G2099" s="12">
        <v>38200</v>
      </c>
      <c r="H2099" s="11" t="str">
        <f t="shared" si="70"/>
        <v>平成4年12月5日</v>
      </c>
      <c r="I2099" s="22">
        <f t="shared" si="69"/>
        <v>33943</v>
      </c>
      <c r="J2099" s="1" t="str">
        <f>"00747943"</f>
        <v>00747943</v>
      </c>
      <c r="K2099" s="1" t="str">
        <f>"４５７　　　　　　　　　　　　　　　　　"</f>
        <v>４５７　　　　　　　　　　　　　　　　　</v>
      </c>
      <c r="L2099" s="1"/>
    </row>
    <row r="2100" spans="1:12" ht="18" customHeight="1" x14ac:dyDescent="0.15">
      <c r="A2100" s="1">
        <v>5355</v>
      </c>
      <c r="B2100" s="11" t="s">
        <v>536</v>
      </c>
      <c r="C2100" s="11" t="s">
        <v>562</v>
      </c>
      <c r="D2100" s="11">
        <v>1</v>
      </c>
      <c r="E2100" s="11" t="s">
        <v>9</v>
      </c>
      <c r="F2100" s="12">
        <v>38200</v>
      </c>
      <c r="G2100" s="12">
        <v>38200</v>
      </c>
      <c r="H2100" s="11" t="str">
        <f t="shared" si="70"/>
        <v>平成4年12月5日</v>
      </c>
      <c r="I2100" s="22">
        <f t="shared" si="69"/>
        <v>33943</v>
      </c>
      <c r="J2100" s="1" t="str">
        <f>"00747945"</f>
        <v>00747945</v>
      </c>
      <c r="K2100" s="1" t="str">
        <f>"４５８　　　　　　　　　　　　　　　　　"</f>
        <v>４５８　　　　　　　　　　　　　　　　　</v>
      </c>
      <c r="L2100" s="1"/>
    </row>
    <row r="2101" spans="1:12" ht="18" customHeight="1" x14ac:dyDescent="0.15">
      <c r="A2101" s="1">
        <v>5356</v>
      </c>
      <c r="B2101" s="11" t="s">
        <v>536</v>
      </c>
      <c r="C2101" s="11" t="s">
        <v>562</v>
      </c>
      <c r="D2101" s="11">
        <v>1</v>
      </c>
      <c r="E2101" s="11" t="s">
        <v>9</v>
      </c>
      <c r="F2101" s="12">
        <v>38200</v>
      </c>
      <c r="G2101" s="12">
        <v>38200</v>
      </c>
      <c r="H2101" s="11" t="str">
        <f t="shared" si="70"/>
        <v>平成4年12月5日</v>
      </c>
      <c r="I2101" s="22">
        <f t="shared" si="69"/>
        <v>33943</v>
      </c>
      <c r="J2101" s="1" t="str">
        <f>"00747947"</f>
        <v>00747947</v>
      </c>
      <c r="K2101" s="1" t="str">
        <f>"４５９　　　　　　　　　　　　　　　　　"</f>
        <v>４５９　　　　　　　　　　　　　　　　　</v>
      </c>
      <c r="L2101" s="1"/>
    </row>
    <row r="2102" spans="1:12" ht="18" customHeight="1" x14ac:dyDescent="0.15">
      <c r="A2102" s="1">
        <v>5357</v>
      </c>
      <c r="B2102" s="11" t="s">
        <v>536</v>
      </c>
      <c r="C2102" s="11" t="s">
        <v>562</v>
      </c>
      <c r="D2102" s="11">
        <v>1</v>
      </c>
      <c r="E2102" s="11" t="s">
        <v>9</v>
      </c>
      <c r="F2102" s="12">
        <v>38200</v>
      </c>
      <c r="G2102" s="12">
        <v>38200</v>
      </c>
      <c r="H2102" s="11" t="str">
        <f t="shared" si="70"/>
        <v>平成4年12月5日</v>
      </c>
      <c r="I2102" s="22">
        <f t="shared" si="69"/>
        <v>33943</v>
      </c>
      <c r="J2102" s="1" t="str">
        <f>"00747949"</f>
        <v>00747949</v>
      </c>
      <c r="K2102" s="1" t="str">
        <f>"４６０　　　　　　　　　　　　　　　　　"</f>
        <v>４６０　　　　　　　　　　　　　　　　　</v>
      </c>
      <c r="L2102" s="1"/>
    </row>
    <row r="2103" spans="1:12" ht="18" customHeight="1" x14ac:dyDescent="0.15">
      <c r="A2103" s="1">
        <v>5358</v>
      </c>
      <c r="B2103" s="11" t="s">
        <v>536</v>
      </c>
      <c r="C2103" s="11" t="s">
        <v>562</v>
      </c>
      <c r="D2103" s="11">
        <v>1</v>
      </c>
      <c r="E2103" s="11" t="s">
        <v>9</v>
      </c>
      <c r="F2103" s="12">
        <v>38200</v>
      </c>
      <c r="G2103" s="12">
        <v>38200</v>
      </c>
      <c r="H2103" s="11" t="str">
        <f t="shared" si="70"/>
        <v>平成4年12月5日</v>
      </c>
      <c r="I2103" s="22">
        <f t="shared" si="69"/>
        <v>33943</v>
      </c>
      <c r="J2103" s="1" t="str">
        <f>"00747951"</f>
        <v>00747951</v>
      </c>
      <c r="K2103" s="1" t="str">
        <f>"４６１　　　　　　　　　　　　　　　　　"</f>
        <v>４６１　　　　　　　　　　　　　　　　　</v>
      </c>
      <c r="L2103" s="1"/>
    </row>
    <row r="2104" spans="1:12" ht="18" customHeight="1" x14ac:dyDescent="0.15">
      <c r="A2104" s="1">
        <v>5359</v>
      </c>
      <c r="B2104" s="11" t="s">
        <v>536</v>
      </c>
      <c r="C2104" s="11" t="s">
        <v>562</v>
      </c>
      <c r="D2104" s="11">
        <v>1</v>
      </c>
      <c r="E2104" s="11" t="s">
        <v>9</v>
      </c>
      <c r="F2104" s="12">
        <v>38200</v>
      </c>
      <c r="G2104" s="12">
        <v>38200</v>
      </c>
      <c r="H2104" s="11" t="str">
        <f t="shared" si="70"/>
        <v>平成4年12月5日</v>
      </c>
      <c r="I2104" s="22">
        <f t="shared" si="69"/>
        <v>33943</v>
      </c>
      <c r="J2104" s="1" t="str">
        <f>"00747953"</f>
        <v>00747953</v>
      </c>
      <c r="K2104" s="1" t="str">
        <f>"４６２　　　　　　　　　　　　　　　　　"</f>
        <v>４６２　　　　　　　　　　　　　　　　　</v>
      </c>
      <c r="L2104" s="1"/>
    </row>
    <row r="2105" spans="1:12" ht="18" customHeight="1" x14ac:dyDescent="0.15">
      <c r="A2105" s="1">
        <v>5360</v>
      </c>
      <c r="B2105" s="11" t="s">
        <v>536</v>
      </c>
      <c r="C2105" s="11" t="s">
        <v>562</v>
      </c>
      <c r="D2105" s="11">
        <v>1</v>
      </c>
      <c r="E2105" s="11" t="s">
        <v>9</v>
      </c>
      <c r="F2105" s="12">
        <v>38200</v>
      </c>
      <c r="G2105" s="12">
        <v>38200</v>
      </c>
      <c r="H2105" s="11" t="str">
        <f t="shared" si="70"/>
        <v>平成4年12月5日</v>
      </c>
      <c r="I2105" s="22">
        <f t="shared" si="69"/>
        <v>33943</v>
      </c>
      <c r="J2105" s="1" t="str">
        <f>"00747955"</f>
        <v>00747955</v>
      </c>
      <c r="K2105" s="1" t="str">
        <f>"４６３　　　　　　　　　　　　　　　　　"</f>
        <v>４６３　　　　　　　　　　　　　　　　　</v>
      </c>
      <c r="L2105" s="1"/>
    </row>
    <row r="2106" spans="1:12" ht="18" customHeight="1" x14ac:dyDescent="0.15">
      <c r="A2106" s="1">
        <v>5361</v>
      </c>
      <c r="B2106" s="11" t="s">
        <v>536</v>
      </c>
      <c r="C2106" s="11" t="s">
        <v>562</v>
      </c>
      <c r="D2106" s="11">
        <v>1</v>
      </c>
      <c r="E2106" s="11" t="s">
        <v>9</v>
      </c>
      <c r="F2106" s="12">
        <v>38200</v>
      </c>
      <c r="G2106" s="12">
        <v>38200</v>
      </c>
      <c r="H2106" s="11" t="str">
        <f t="shared" si="70"/>
        <v>平成4年12月5日</v>
      </c>
      <c r="I2106" s="22">
        <f t="shared" si="69"/>
        <v>33943</v>
      </c>
      <c r="J2106" s="1" t="str">
        <f>"00747957"</f>
        <v>00747957</v>
      </c>
      <c r="K2106" s="1" t="str">
        <f>"４６４　　　　　　　　　　　　　　　　　"</f>
        <v>４６４　　　　　　　　　　　　　　　　　</v>
      </c>
      <c r="L2106" s="1"/>
    </row>
    <row r="2107" spans="1:12" ht="18" customHeight="1" x14ac:dyDescent="0.15">
      <c r="A2107" s="1">
        <v>5362</v>
      </c>
      <c r="B2107" s="11" t="s">
        <v>536</v>
      </c>
      <c r="C2107" s="11" t="s">
        <v>562</v>
      </c>
      <c r="D2107" s="11">
        <v>1</v>
      </c>
      <c r="E2107" s="11" t="s">
        <v>9</v>
      </c>
      <c r="F2107" s="12">
        <v>38200</v>
      </c>
      <c r="G2107" s="12">
        <v>38200</v>
      </c>
      <c r="H2107" s="11" t="str">
        <f t="shared" si="70"/>
        <v>平成4年12月5日</v>
      </c>
      <c r="I2107" s="22">
        <f t="shared" si="69"/>
        <v>33943</v>
      </c>
      <c r="J2107" s="1" t="str">
        <f>"00747959"</f>
        <v>00747959</v>
      </c>
      <c r="K2107" s="1" t="str">
        <f>"４６５　　　　　　　　　　　　　　　　　"</f>
        <v>４６５　　　　　　　　　　　　　　　　　</v>
      </c>
      <c r="L2107" s="1"/>
    </row>
    <row r="2108" spans="1:12" ht="18" customHeight="1" x14ac:dyDescent="0.15">
      <c r="A2108" s="1">
        <v>5363</v>
      </c>
      <c r="B2108" s="11" t="s">
        <v>536</v>
      </c>
      <c r="C2108" s="11" t="s">
        <v>562</v>
      </c>
      <c r="D2108" s="11">
        <v>1</v>
      </c>
      <c r="E2108" s="11" t="s">
        <v>9</v>
      </c>
      <c r="F2108" s="12">
        <v>38200</v>
      </c>
      <c r="G2108" s="12">
        <v>38200</v>
      </c>
      <c r="H2108" s="11" t="str">
        <f t="shared" si="70"/>
        <v>平成4年12月5日</v>
      </c>
      <c r="I2108" s="22">
        <f t="shared" si="69"/>
        <v>33943</v>
      </c>
      <c r="J2108" s="1" t="str">
        <f>"00747961"</f>
        <v>00747961</v>
      </c>
      <c r="K2108" s="1" t="str">
        <f>"４６６　　　　　　　　　　　　　　　　　"</f>
        <v>４６６　　　　　　　　　　　　　　　　　</v>
      </c>
      <c r="L2108" s="1"/>
    </row>
    <row r="2109" spans="1:12" ht="18" customHeight="1" x14ac:dyDescent="0.15">
      <c r="A2109" s="1">
        <v>5364</v>
      </c>
      <c r="B2109" s="11" t="s">
        <v>536</v>
      </c>
      <c r="C2109" s="11" t="s">
        <v>562</v>
      </c>
      <c r="D2109" s="11">
        <v>1</v>
      </c>
      <c r="E2109" s="11" t="s">
        <v>9</v>
      </c>
      <c r="F2109" s="12">
        <v>38200</v>
      </c>
      <c r="G2109" s="12">
        <v>38200</v>
      </c>
      <c r="H2109" s="11" t="str">
        <f t="shared" si="70"/>
        <v>平成4年12月5日</v>
      </c>
      <c r="I2109" s="22">
        <f t="shared" si="69"/>
        <v>33943</v>
      </c>
      <c r="J2109" s="1" t="str">
        <f>"00747963"</f>
        <v>00747963</v>
      </c>
      <c r="K2109" s="1" t="str">
        <f>"４６７　　　　　　　　　　　　　　　　　"</f>
        <v>４６７　　　　　　　　　　　　　　　　　</v>
      </c>
      <c r="L2109" s="1"/>
    </row>
    <row r="2110" spans="1:12" ht="18" customHeight="1" x14ac:dyDescent="0.15">
      <c r="A2110" s="1">
        <v>5365</v>
      </c>
      <c r="B2110" s="11" t="s">
        <v>536</v>
      </c>
      <c r="C2110" s="11" t="s">
        <v>562</v>
      </c>
      <c r="D2110" s="11">
        <v>1</v>
      </c>
      <c r="E2110" s="11" t="s">
        <v>9</v>
      </c>
      <c r="F2110" s="12">
        <v>38200</v>
      </c>
      <c r="G2110" s="12">
        <v>38200</v>
      </c>
      <c r="H2110" s="11" t="str">
        <f t="shared" si="70"/>
        <v>平成4年12月5日</v>
      </c>
      <c r="I2110" s="22">
        <f t="shared" si="69"/>
        <v>33943</v>
      </c>
      <c r="J2110" s="1" t="str">
        <f>"00747965"</f>
        <v>00747965</v>
      </c>
      <c r="K2110" s="1" t="str">
        <f>"４６８　　　　　　　　　　　　　　　　　"</f>
        <v>４６８　　　　　　　　　　　　　　　　　</v>
      </c>
      <c r="L2110" s="1"/>
    </row>
    <row r="2111" spans="1:12" ht="18" customHeight="1" x14ac:dyDescent="0.15">
      <c r="A2111" s="1">
        <v>5366</v>
      </c>
      <c r="B2111" s="11" t="s">
        <v>536</v>
      </c>
      <c r="C2111" s="11" t="s">
        <v>562</v>
      </c>
      <c r="D2111" s="11">
        <v>1</v>
      </c>
      <c r="E2111" s="11" t="s">
        <v>9</v>
      </c>
      <c r="F2111" s="12">
        <v>38200</v>
      </c>
      <c r="G2111" s="12">
        <v>38200</v>
      </c>
      <c r="H2111" s="11" t="str">
        <f t="shared" si="70"/>
        <v>平成4年12月5日</v>
      </c>
      <c r="I2111" s="22">
        <f t="shared" si="69"/>
        <v>33943</v>
      </c>
      <c r="J2111" s="1" t="str">
        <f>"00747967"</f>
        <v>00747967</v>
      </c>
      <c r="K2111" s="1" t="str">
        <f>"４６９　　　　　　　　　　　　　　　　　"</f>
        <v>４６９　　　　　　　　　　　　　　　　　</v>
      </c>
      <c r="L2111" s="1"/>
    </row>
    <row r="2112" spans="1:12" ht="18" customHeight="1" x14ac:dyDescent="0.15">
      <c r="A2112" s="1">
        <v>5367</v>
      </c>
      <c r="B2112" s="11" t="s">
        <v>536</v>
      </c>
      <c r="C2112" s="11" t="s">
        <v>562</v>
      </c>
      <c r="D2112" s="11">
        <v>1</v>
      </c>
      <c r="E2112" s="11" t="s">
        <v>9</v>
      </c>
      <c r="F2112" s="12">
        <v>38200</v>
      </c>
      <c r="G2112" s="12">
        <v>38200</v>
      </c>
      <c r="H2112" s="11" t="str">
        <f t="shared" si="70"/>
        <v>平成4年12月5日</v>
      </c>
      <c r="I2112" s="22">
        <f t="shared" si="69"/>
        <v>33943</v>
      </c>
      <c r="J2112" s="1" t="str">
        <f>"00747969"</f>
        <v>00747969</v>
      </c>
      <c r="K2112" s="1" t="str">
        <f>"４７０　　　　　　　　　　　　　　　　　"</f>
        <v>４７０　　　　　　　　　　　　　　　　　</v>
      </c>
      <c r="L2112" s="1"/>
    </row>
    <row r="2113" spans="1:12" ht="18" customHeight="1" x14ac:dyDescent="0.15">
      <c r="A2113" s="1">
        <v>5368</v>
      </c>
      <c r="B2113" s="11" t="s">
        <v>536</v>
      </c>
      <c r="C2113" s="11" t="s">
        <v>562</v>
      </c>
      <c r="D2113" s="11">
        <v>1</v>
      </c>
      <c r="E2113" s="11" t="s">
        <v>9</v>
      </c>
      <c r="F2113" s="12">
        <v>38200</v>
      </c>
      <c r="G2113" s="12">
        <v>38200</v>
      </c>
      <c r="H2113" s="11" t="str">
        <f t="shared" si="70"/>
        <v>平成4年12月5日</v>
      </c>
      <c r="I2113" s="22">
        <f t="shared" si="69"/>
        <v>33943</v>
      </c>
      <c r="J2113" s="1" t="str">
        <f>"00747971"</f>
        <v>00747971</v>
      </c>
      <c r="K2113" s="1" t="str">
        <f>"４７１　　　　　　　　　　　　　　　　　"</f>
        <v>４７１　　　　　　　　　　　　　　　　　</v>
      </c>
      <c r="L2113" s="1"/>
    </row>
    <row r="2114" spans="1:12" ht="18" customHeight="1" x14ac:dyDescent="0.15">
      <c r="A2114" s="1">
        <v>5369</v>
      </c>
      <c r="B2114" s="11" t="s">
        <v>536</v>
      </c>
      <c r="C2114" s="11" t="s">
        <v>562</v>
      </c>
      <c r="D2114" s="11">
        <v>1</v>
      </c>
      <c r="E2114" s="11" t="s">
        <v>9</v>
      </c>
      <c r="F2114" s="12">
        <v>38200</v>
      </c>
      <c r="G2114" s="12">
        <v>38200</v>
      </c>
      <c r="H2114" s="11" t="str">
        <f t="shared" si="70"/>
        <v>平成4年12月5日</v>
      </c>
      <c r="I2114" s="22">
        <f t="shared" si="69"/>
        <v>33943</v>
      </c>
      <c r="J2114" s="1" t="str">
        <f>"00747973"</f>
        <v>00747973</v>
      </c>
      <c r="K2114" s="1" t="str">
        <f>"４７２　　　　　　　　　　　　　　　　　"</f>
        <v>４７２　　　　　　　　　　　　　　　　　</v>
      </c>
      <c r="L2114" s="1"/>
    </row>
    <row r="2115" spans="1:12" ht="18" customHeight="1" x14ac:dyDescent="0.15">
      <c r="A2115" s="1">
        <v>5370</v>
      </c>
      <c r="B2115" s="11" t="s">
        <v>536</v>
      </c>
      <c r="C2115" s="11" t="s">
        <v>562</v>
      </c>
      <c r="D2115" s="11">
        <v>1</v>
      </c>
      <c r="E2115" s="11" t="s">
        <v>9</v>
      </c>
      <c r="F2115" s="12">
        <v>38200</v>
      </c>
      <c r="G2115" s="12">
        <v>38200</v>
      </c>
      <c r="H2115" s="11" t="str">
        <f t="shared" si="70"/>
        <v>平成4年12月5日</v>
      </c>
      <c r="I2115" s="22">
        <f t="shared" si="69"/>
        <v>33943</v>
      </c>
      <c r="J2115" s="1" t="str">
        <f>"00747975"</f>
        <v>00747975</v>
      </c>
      <c r="K2115" s="1" t="str">
        <f>"４７３　　　　　　　　　　　　　　　　　"</f>
        <v>４７３　　　　　　　　　　　　　　　　　</v>
      </c>
      <c r="L2115" s="1"/>
    </row>
    <row r="2116" spans="1:12" ht="18" customHeight="1" x14ac:dyDescent="0.15">
      <c r="A2116" s="1">
        <v>5371</v>
      </c>
      <c r="B2116" s="11" t="s">
        <v>536</v>
      </c>
      <c r="C2116" s="11" t="s">
        <v>562</v>
      </c>
      <c r="D2116" s="11">
        <v>1</v>
      </c>
      <c r="E2116" s="11" t="s">
        <v>9</v>
      </c>
      <c r="F2116" s="12">
        <v>38200</v>
      </c>
      <c r="G2116" s="12">
        <v>38200</v>
      </c>
      <c r="H2116" s="11" t="str">
        <f t="shared" si="70"/>
        <v>平成4年12月5日</v>
      </c>
      <c r="I2116" s="22">
        <f t="shared" si="69"/>
        <v>33943</v>
      </c>
      <c r="J2116" s="1" t="str">
        <f>"00747977"</f>
        <v>00747977</v>
      </c>
      <c r="K2116" s="1" t="str">
        <f>"４７４　　　　　　　　　　　　　　　　　"</f>
        <v>４７４　　　　　　　　　　　　　　　　　</v>
      </c>
      <c r="L2116" s="1"/>
    </row>
    <row r="2117" spans="1:12" ht="18" customHeight="1" x14ac:dyDescent="0.15">
      <c r="A2117" s="1">
        <v>5372</v>
      </c>
      <c r="B2117" s="11" t="s">
        <v>536</v>
      </c>
      <c r="C2117" s="11" t="s">
        <v>562</v>
      </c>
      <c r="D2117" s="11">
        <v>1</v>
      </c>
      <c r="E2117" s="11" t="s">
        <v>9</v>
      </c>
      <c r="F2117" s="12">
        <v>38200</v>
      </c>
      <c r="G2117" s="12">
        <v>38200</v>
      </c>
      <c r="H2117" s="11" t="str">
        <f t="shared" si="70"/>
        <v>平成4年12月5日</v>
      </c>
      <c r="I2117" s="22">
        <f t="shared" si="69"/>
        <v>33943</v>
      </c>
      <c r="J2117" s="1" t="str">
        <f>"00747979"</f>
        <v>00747979</v>
      </c>
      <c r="K2117" s="1" t="str">
        <f>"４７５　　　　　　　　　　　　　　　　　"</f>
        <v>４７５　　　　　　　　　　　　　　　　　</v>
      </c>
      <c r="L2117" s="1"/>
    </row>
    <row r="2118" spans="1:12" ht="18" customHeight="1" x14ac:dyDescent="0.15">
      <c r="A2118" s="1">
        <v>5373</v>
      </c>
      <c r="B2118" s="11" t="s">
        <v>536</v>
      </c>
      <c r="C2118" s="11" t="s">
        <v>562</v>
      </c>
      <c r="D2118" s="11">
        <v>1</v>
      </c>
      <c r="E2118" s="11" t="s">
        <v>9</v>
      </c>
      <c r="F2118" s="12">
        <v>38200</v>
      </c>
      <c r="G2118" s="12">
        <v>38200</v>
      </c>
      <c r="H2118" s="11" t="str">
        <f t="shared" si="70"/>
        <v>平成4年12月5日</v>
      </c>
      <c r="I2118" s="22">
        <f t="shared" si="69"/>
        <v>33943</v>
      </c>
      <c r="J2118" s="1" t="str">
        <f>"00747981"</f>
        <v>00747981</v>
      </c>
      <c r="K2118" s="1" t="str">
        <f>"４７６　　　　　　　　　　　　　　　　　"</f>
        <v>４７６　　　　　　　　　　　　　　　　　</v>
      </c>
      <c r="L2118" s="1"/>
    </row>
    <row r="2119" spans="1:12" ht="18" customHeight="1" x14ac:dyDescent="0.15">
      <c r="A2119" s="1">
        <v>5374</v>
      </c>
      <c r="B2119" s="11" t="s">
        <v>536</v>
      </c>
      <c r="C2119" s="11" t="s">
        <v>562</v>
      </c>
      <c r="D2119" s="11">
        <v>1</v>
      </c>
      <c r="E2119" s="11" t="s">
        <v>9</v>
      </c>
      <c r="F2119" s="12">
        <v>38200</v>
      </c>
      <c r="G2119" s="12">
        <v>38200</v>
      </c>
      <c r="H2119" s="11" t="str">
        <f t="shared" si="70"/>
        <v>平成4年12月5日</v>
      </c>
      <c r="I2119" s="22">
        <f t="shared" si="69"/>
        <v>33943</v>
      </c>
      <c r="J2119" s="1" t="str">
        <f>"00747983"</f>
        <v>00747983</v>
      </c>
      <c r="K2119" s="1" t="str">
        <f>"４７７　　　　　　　　　　　　　　　　　"</f>
        <v>４７７　　　　　　　　　　　　　　　　　</v>
      </c>
      <c r="L2119" s="1"/>
    </row>
    <row r="2120" spans="1:12" ht="18" customHeight="1" x14ac:dyDescent="0.15">
      <c r="A2120" s="1">
        <v>5375</v>
      </c>
      <c r="B2120" s="11" t="s">
        <v>536</v>
      </c>
      <c r="C2120" s="11" t="s">
        <v>562</v>
      </c>
      <c r="D2120" s="11">
        <v>1</v>
      </c>
      <c r="E2120" s="11" t="s">
        <v>9</v>
      </c>
      <c r="F2120" s="12">
        <v>38200</v>
      </c>
      <c r="G2120" s="12">
        <v>38200</v>
      </c>
      <c r="H2120" s="11" t="str">
        <f t="shared" si="70"/>
        <v>平成4年12月5日</v>
      </c>
      <c r="I2120" s="22">
        <f t="shared" si="69"/>
        <v>33943</v>
      </c>
      <c r="J2120" s="1" t="str">
        <f>"00747985"</f>
        <v>00747985</v>
      </c>
      <c r="K2120" s="1" t="str">
        <f>"４７８　　　　　　　　　　　　　　　　　"</f>
        <v>４７８　　　　　　　　　　　　　　　　　</v>
      </c>
      <c r="L2120" s="1"/>
    </row>
    <row r="2121" spans="1:12" ht="18" customHeight="1" x14ac:dyDescent="0.15">
      <c r="A2121" s="1">
        <v>5376</v>
      </c>
      <c r="B2121" s="11" t="s">
        <v>536</v>
      </c>
      <c r="C2121" s="11" t="s">
        <v>562</v>
      </c>
      <c r="D2121" s="11">
        <v>1</v>
      </c>
      <c r="E2121" s="11" t="s">
        <v>9</v>
      </c>
      <c r="F2121" s="12">
        <v>38200</v>
      </c>
      <c r="G2121" s="12">
        <v>38200</v>
      </c>
      <c r="H2121" s="11" t="str">
        <f t="shared" si="70"/>
        <v>平成4年12月5日</v>
      </c>
      <c r="I2121" s="22">
        <f t="shared" si="69"/>
        <v>33943</v>
      </c>
      <c r="J2121" s="1" t="str">
        <f>"00747987"</f>
        <v>00747987</v>
      </c>
      <c r="K2121" s="1" t="str">
        <f>"４７９　　　　　　　　　　　　　　　　　"</f>
        <v>４７９　　　　　　　　　　　　　　　　　</v>
      </c>
      <c r="L2121" s="1"/>
    </row>
    <row r="2122" spans="1:12" ht="18" customHeight="1" x14ac:dyDescent="0.15">
      <c r="A2122" s="1">
        <v>5377</v>
      </c>
      <c r="B2122" s="11" t="s">
        <v>536</v>
      </c>
      <c r="C2122" s="11" t="s">
        <v>562</v>
      </c>
      <c r="D2122" s="11">
        <v>1</v>
      </c>
      <c r="E2122" s="11" t="s">
        <v>9</v>
      </c>
      <c r="F2122" s="12">
        <v>38200</v>
      </c>
      <c r="G2122" s="12">
        <v>38200</v>
      </c>
      <c r="H2122" s="11" t="str">
        <f t="shared" si="70"/>
        <v>平成4年12月5日</v>
      </c>
      <c r="I2122" s="22">
        <f t="shared" si="69"/>
        <v>33943</v>
      </c>
      <c r="J2122" s="1" t="str">
        <f>"00747989"</f>
        <v>00747989</v>
      </c>
      <c r="K2122" s="1" t="str">
        <f>"４８０　　　　　　　　　　　　　　　　　"</f>
        <v>４８０　　　　　　　　　　　　　　　　　</v>
      </c>
      <c r="L2122" s="1"/>
    </row>
    <row r="2123" spans="1:12" ht="18" customHeight="1" x14ac:dyDescent="0.15">
      <c r="A2123" s="1">
        <v>5378</v>
      </c>
      <c r="B2123" s="11" t="s">
        <v>536</v>
      </c>
      <c r="C2123" s="11" t="s">
        <v>562</v>
      </c>
      <c r="D2123" s="11">
        <v>1</v>
      </c>
      <c r="E2123" s="11" t="s">
        <v>9</v>
      </c>
      <c r="F2123" s="12">
        <v>38200</v>
      </c>
      <c r="G2123" s="12">
        <v>38200</v>
      </c>
      <c r="H2123" s="11" t="str">
        <f t="shared" si="70"/>
        <v>平成4年12月5日</v>
      </c>
      <c r="I2123" s="22">
        <f t="shared" si="69"/>
        <v>33943</v>
      </c>
      <c r="J2123" s="1" t="str">
        <f>"00747991"</f>
        <v>00747991</v>
      </c>
      <c r="K2123" s="1" t="str">
        <f>"４８１　　　　　　　　　　　　　　　　　"</f>
        <v>４８１　　　　　　　　　　　　　　　　　</v>
      </c>
      <c r="L2123" s="1"/>
    </row>
    <row r="2124" spans="1:12" ht="18" customHeight="1" x14ac:dyDescent="0.15">
      <c r="A2124" s="1">
        <v>5379</v>
      </c>
      <c r="B2124" s="11" t="s">
        <v>536</v>
      </c>
      <c r="C2124" s="11" t="s">
        <v>562</v>
      </c>
      <c r="D2124" s="11">
        <v>1</v>
      </c>
      <c r="E2124" s="11" t="s">
        <v>9</v>
      </c>
      <c r="F2124" s="12">
        <v>38200</v>
      </c>
      <c r="G2124" s="12">
        <v>38200</v>
      </c>
      <c r="H2124" s="11" t="str">
        <f t="shared" si="70"/>
        <v>平成4年12月5日</v>
      </c>
      <c r="I2124" s="22">
        <f t="shared" si="69"/>
        <v>33943</v>
      </c>
      <c r="J2124" s="1" t="str">
        <f>"00747993"</f>
        <v>00747993</v>
      </c>
      <c r="K2124" s="1" t="str">
        <f>"４８２　　　　　　　　　　　　　　　　　"</f>
        <v>４８２　　　　　　　　　　　　　　　　　</v>
      </c>
      <c r="L2124" s="1"/>
    </row>
    <row r="2125" spans="1:12" ht="18" customHeight="1" x14ac:dyDescent="0.15">
      <c r="A2125" s="1">
        <v>5380</v>
      </c>
      <c r="B2125" s="11" t="s">
        <v>536</v>
      </c>
      <c r="C2125" s="11" t="s">
        <v>562</v>
      </c>
      <c r="D2125" s="11">
        <v>1</v>
      </c>
      <c r="E2125" s="11" t="s">
        <v>9</v>
      </c>
      <c r="F2125" s="12">
        <v>38200</v>
      </c>
      <c r="G2125" s="12">
        <v>38200</v>
      </c>
      <c r="H2125" s="11" t="str">
        <f t="shared" si="70"/>
        <v>平成4年12月5日</v>
      </c>
      <c r="I2125" s="22">
        <f t="shared" si="69"/>
        <v>33943</v>
      </c>
      <c r="J2125" s="1" t="str">
        <f>"00747995"</f>
        <v>00747995</v>
      </c>
      <c r="K2125" s="1" t="str">
        <f>"４８３　　　　　　　　　　　　　　　　　"</f>
        <v>４８３　　　　　　　　　　　　　　　　　</v>
      </c>
      <c r="L2125" s="1"/>
    </row>
    <row r="2126" spans="1:12" ht="18" customHeight="1" x14ac:dyDescent="0.15">
      <c r="A2126" s="1">
        <v>5381</v>
      </c>
      <c r="B2126" s="11" t="s">
        <v>536</v>
      </c>
      <c r="C2126" s="11" t="s">
        <v>562</v>
      </c>
      <c r="D2126" s="11">
        <v>1</v>
      </c>
      <c r="E2126" s="11" t="s">
        <v>9</v>
      </c>
      <c r="F2126" s="12">
        <v>38200</v>
      </c>
      <c r="G2126" s="12">
        <v>38200</v>
      </c>
      <c r="H2126" s="11" t="str">
        <f t="shared" si="70"/>
        <v>平成4年12月5日</v>
      </c>
      <c r="I2126" s="22">
        <f t="shared" si="69"/>
        <v>33943</v>
      </c>
      <c r="J2126" s="1" t="str">
        <f>"00747997"</f>
        <v>00747997</v>
      </c>
      <c r="K2126" s="1" t="str">
        <f>"４８４　　　　　　　　　　　　　　　　　"</f>
        <v>４８４　　　　　　　　　　　　　　　　　</v>
      </c>
      <c r="L2126" s="1"/>
    </row>
    <row r="2127" spans="1:12" ht="18" customHeight="1" x14ac:dyDescent="0.15">
      <c r="A2127" s="1">
        <v>5382</v>
      </c>
      <c r="B2127" s="11" t="s">
        <v>536</v>
      </c>
      <c r="C2127" s="11" t="s">
        <v>562</v>
      </c>
      <c r="D2127" s="11">
        <v>1</v>
      </c>
      <c r="E2127" s="11" t="s">
        <v>9</v>
      </c>
      <c r="F2127" s="12">
        <v>38200</v>
      </c>
      <c r="G2127" s="12">
        <v>38200</v>
      </c>
      <c r="H2127" s="11" t="str">
        <f t="shared" si="70"/>
        <v>平成4年12月5日</v>
      </c>
      <c r="I2127" s="22">
        <f t="shared" si="69"/>
        <v>33943</v>
      </c>
      <c r="J2127" s="1" t="str">
        <f>"00747999"</f>
        <v>00747999</v>
      </c>
      <c r="K2127" s="1" t="str">
        <f>"４８５　　　　　　　　　　　　　　　　　"</f>
        <v>４８５　　　　　　　　　　　　　　　　　</v>
      </c>
      <c r="L2127" s="1"/>
    </row>
    <row r="2128" spans="1:12" ht="18" customHeight="1" x14ac:dyDescent="0.15">
      <c r="A2128" s="1">
        <v>5383</v>
      </c>
      <c r="B2128" s="11" t="s">
        <v>536</v>
      </c>
      <c r="C2128" s="11" t="s">
        <v>562</v>
      </c>
      <c r="D2128" s="11">
        <v>1</v>
      </c>
      <c r="E2128" s="11" t="s">
        <v>9</v>
      </c>
      <c r="F2128" s="12">
        <v>38200</v>
      </c>
      <c r="G2128" s="12">
        <v>38200</v>
      </c>
      <c r="H2128" s="11" t="str">
        <f t="shared" si="70"/>
        <v>平成4年12月5日</v>
      </c>
      <c r="I2128" s="22">
        <f t="shared" si="69"/>
        <v>33943</v>
      </c>
      <c r="J2128" s="1" t="str">
        <f>"00748001"</f>
        <v>00748001</v>
      </c>
      <c r="K2128" s="1" t="str">
        <f>"４８６　　　　　　　　　　　　　　　　　"</f>
        <v>４８６　　　　　　　　　　　　　　　　　</v>
      </c>
      <c r="L2128" s="1"/>
    </row>
    <row r="2129" spans="1:12" ht="18" customHeight="1" x14ac:dyDescent="0.15">
      <c r="A2129" s="1">
        <v>5384</v>
      </c>
      <c r="B2129" s="11" t="s">
        <v>536</v>
      </c>
      <c r="C2129" s="11" t="s">
        <v>563</v>
      </c>
      <c r="D2129" s="11">
        <v>1</v>
      </c>
      <c r="E2129" s="11" t="s">
        <v>9</v>
      </c>
      <c r="F2129" s="12">
        <v>51500</v>
      </c>
      <c r="G2129" s="12">
        <v>51500</v>
      </c>
      <c r="H2129" s="11" t="str">
        <f t="shared" si="70"/>
        <v>平成4年12月5日</v>
      </c>
      <c r="I2129" s="22">
        <f t="shared" si="69"/>
        <v>33943</v>
      </c>
      <c r="J2129" s="1" t="str">
        <f>"00748003"</f>
        <v>00748003</v>
      </c>
      <c r="K2129" s="1" t="str">
        <f>"４８７　　　　　　　　　　　　　　　　　"</f>
        <v>４８７　　　　　　　　　　　　　　　　　</v>
      </c>
      <c r="L2129" s="1"/>
    </row>
    <row r="2130" spans="1:12" ht="18" customHeight="1" x14ac:dyDescent="0.15">
      <c r="A2130" s="1">
        <v>5385</v>
      </c>
      <c r="B2130" s="11" t="s">
        <v>536</v>
      </c>
      <c r="C2130" s="11" t="s">
        <v>563</v>
      </c>
      <c r="D2130" s="11">
        <v>1</v>
      </c>
      <c r="E2130" s="11" t="s">
        <v>9</v>
      </c>
      <c r="F2130" s="12">
        <v>51500</v>
      </c>
      <c r="G2130" s="12">
        <v>51500</v>
      </c>
      <c r="H2130" s="11" t="str">
        <f t="shared" si="70"/>
        <v>平成4年12月5日</v>
      </c>
      <c r="I2130" s="22">
        <f t="shared" ref="I2130:I2193" si="71">DATEVALUE(H2130)</f>
        <v>33943</v>
      </c>
      <c r="J2130" s="1" t="str">
        <f>"00748005"</f>
        <v>00748005</v>
      </c>
      <c r="K2130" s="1" t="str">
        <f>"４８８　　　　　　　　　　　　　　　　　"</f>
        <v>４８８　　　　　　　　　　　　　　　　　</v>
      </c>
      <c r="L2130" s="1"/>
    </row>
    <row r="2131" spans="1:12" ht="18" customHeight="1" x14ac:dyDescent="0.15">
      <c r="A2131" s="1">
        <v>5386</v>
      </c>
      <c r="B2131" s="11" t="s">
        <v>536</v>
      </c>
      <c r="C2131" s="11" t="s">
        <v>563</v>
      </c>
      <c r="D2131" s="11">
        <v>1</v>
      </c>
      <c r="E2131" s="11" t="s">
        <v>9</v>
      </c>
      <c r="F2131" s="12">
        <v>51500</v>
      </c>
      <c r="G2131" s="12">
        <v>51500</v>
      </c>
      <c r="H2131" s="11" t="str">
        <f t="shared" si="70"/>
        <v>平成4年12月5日</v>
      </c>
      <c r="I2131" s="22">
        <f t="shared" si="71"/>
        <v>33943</v>
      </c>
      <c r="J2131" s="1" t="str">
        <f>"00748007"</f>
        <v>00748007</v>
      </c>
      <c r="K2131" s="1" t="str">
        <f>"４８９　　　　　　　　　　　　　　　　　"</f>
        <v>４８９　　　　　　　　　　　　　　　　　</v>
      </c>
      <c r="L2131" s="1"/>
    </row>
    <row r="2132" spans="1:12" ht="18" customHeight="1" x14ac:dyDescent="0.15">
      <c r="A2132" s="1">
        <v>5387</v>
      </c>
      <c r="B2132" s="11" t="s">
        <v>536</v>
      </c>
      <c r="C2132" s="11" t="s">
        <v>563</v>
      </c>
      <c r="D2132" s="11">
        <v>1</v>
      </c>
      <c r="E2132" s="11" t="s">
        <v>9</v>
      </c>
      <c r="F2132" s="12">
        <v>51500</v>
      </c>
      <c r="G2132" s="12">
        <v>51500</v>
      </c>
      <c r="H2132" s="11" t="str">
        <f t="shared" si="70"/>
        <v>平成4年12月5日</v>
      </c>
      <c r="I2132" s="22">
        <f t="shared" si="71"/>
        <v>33943</v>
      </c>
      <c r="J2132" s="1" t="str">
        <f>"00748009"</f>
        <v>00748009</v>
      </c>
      <c r="K2132" s="1" t="str">
        <f>"４９０　　　　　　　　　　　　　　　　　"</f>
        <v>４９０　　　　　　　　　　　　　　　　　</v>
      </c>
      <c r="L2132" s="1"/>
    </row>
    <row r="2133" spans="1:12" ht="18" customHeight="1" x14ac:dyDescent="0.15">
      <c r="A2133" s="1">
        <v>5388</v>
      </c>
      <c r="B2133" s="11" t="s">
        <v>536</v>
      </c>
      <c r="C2133" s="11" t="s">
        <v>563</v>
      </c>
      <c r="D2133" s="11">
        <v>1</v>
      </c>
      <c r="E2133" s="11" t="s">
        <v>9</v>
      </c>
      <c r="F2133" s="12">
        <v>51500</v>
      </c>
      <c r="G2133" s="12">
        <v>51500</v>
      </c>
      <c r="H2133" s="11" t="str">
        <f t="shared" si="70"/>
        <v>平成4年12月5日</v>
      </c>
      <c r="I2133" s="22">
        <f t="shared" si="71"/>
        <v>33943</v>
      </c>
      <c r="J2133" s="1" t="str">
        <f>"00748011"</f>
        <v>00748011</v>
      </c>
      <c r="K2133" s="1" t="str">
        <f>"４９１　　　　　　　　　　　　　　　　　"</f>
        <v>４９１　　　　　　　　　　　　　　　　　</v>
      </c>
      <c r="L2133" s="1"/>
    </row>
    <row r="2134" spans="1:12" ht="18" customHeight="1" x14ac:dyDescent="0.15">
      <c r="A2134" s="1">
        <v>5389</v>
      </c>
      <c r="B2134" s="11" t="s">
        <v>536</v>
      </c>
      <c r="C2134" s="11" t="s">
        <v>563</v>
      </c>
      <c r="D2134" s="11">
        <v>1</v>
      </c>
      <c r="E2134" s="11" t="s">
        <v>9</v>
      </c>
      <c r="F2134" s="12">
        <v>51500</v>
      </c>
      <c r="G2134" s="12">
        <v>51500</v>
      </c>
      <c r="H2134" s="11" t="str">
        <f t="shared" si="70"/>
        <v>平成4年12月5日</v>
      </c>
      <c r="I2134" s="22">
        <f t="shared" si="71"/>
        <v>33943</v>
      </c>
      <c r="J2134" s="1" t="str">
        <f>"00748013"</f>
        <v>00748013</v>
      </c>
      <c r="K2134" s="1" t="str">
        <f>"４９２　　　　　　　　　　　　　　　　　"</f>
        <v>４９２　　　　　　　　　　　　　　　　　</v>
      </c>
      <c r="L2134" s="1"/>
    </row>
    <row r="2135" spans="1:12" ht="18" customHeight="1" x14ac:dyDescent="0.15">
      <c r="A2135" s="1">
        <v>5390</v>
      </c>
      <c r="B2135" s="11" t="s">
        <v>536</v>
      </c>
      <c r="C2135" s="11" t="s">
        <v>563</v>
      </c>
      <c r="D2135" s="11">
        <v>1</v>
      </c>
      <c r="E2135" s="11" t="s">
        <v>9</v>
      </c>
      <c r="F2135" s="12">
        <v>51500</v>
      </c>
      <c r="G2135" s="12">
        <v>51500</v>
      </c>
      <c r="H2135" s="11" t="str">
        <f t="shared" si="70"/>
        <v>平成4年12月5日</v>
      </c>
      <c r="I2135" s="22">
        <f t="shared" si="71"/>
        <v>33943</v>
      </c>
      <c r="J2135" s="1" t="str">
        <f>"00748014"</f>
        <v>00748014</v>
      </c>
      <c r="K2135" s="1" t="str">
        <f>"４９３　　　　　　　　　　　　　　　　　"</f>
        <v>４９３　　　　　　　　　　　　　　　　　</v>
      </c>
      <c r="L2135" s="1"/>
    </row>
    <row r="2136" spans="1:12" ht="18" customHeight="1" x14ac:dyDescent="0.15">
      <c r="A2136" s="1">
        <v>5391</v>
      </c>
      <c r="B2136" s="11" t="s">
        <v>536</v>
      </c>
      <c r="C2136" s="11" t="s">
        <v>563</v>
      </c>
      <c r="D2136" s="11">
        <v>1</v>
      </c>
      <c r="E2136" s="11" t="s">
        <v>9</v>
      </c>
      <c r="F2136" s="12">
        <v>51500</v>
      </c>
      <c r="G2136" s="12">
        <v>51500</v>
      </c>
      <c r="H2136" s="11" t="str">
        <f t="shared" si="70"/>
        <v>平成4年12月5日</v>
      </c>
      <c r="I2136" s="22">
        <f t="shared" si="71"/>
        <v>33943</v>
      </c>
      <c r="J2136" s="1" t="str">
        <f>"00748017"</f>
        <v>00748017</v>
      </c>
      <c r="K2136" s="1" t="str">
        <f>"４９４　　　　　　　　　　　　　　　　　"</f>
        <v>４９４　　　　　　　　　　　　　　　　　</v>
      </c>
      <c r="L2136" s="1"/>
    </row>
    <row r="2137" spans="1:12" ht="18" customHeight="1" x14ac:dyDescent="0.15">
      <c r="A2137" s="1">
        <v>5392</v>
      </c>
      <c r="B2137" s="11" t="s">
        <v>536</v>
      </c>
      <c r="C2137" s="11" t="s">
        <v>563</v>
      </c>
      <c r="D2137" s="11">
        <v>1</v>
      </c>
      <c r="E2137" s="11" t="s">
        <v>9</v>
      </c>
      <c r="F2137" s="12">
        <v>51500</v>
      </c>
      <c r="G2137" s="12">
        <v>51500</v>
      </c>
      <c r="H2137" s="11" t="str">
        <f t="shared" si="70"/>
        <v>平成4年12月5日</v>
      </c>
      <c r="I2137" s="22">
        <f t="shared" si="71"/>
        <v>33943</v>
      </c>
      <c r="J2137" s="1" t="str">
        <f>"00748018"</f>
        <v>00748018</v>
      </c>
      <c r="K2137" s="1" t="str">
        <f>"４９５　　　　　　　　　　　　　　　　　"</f>
        <v>４９５　　　　　　　　　　　　　　　　　</v>
      </c>
      <c r="L2137" s="1"/>
    </row>
    <row r="2138" spans="1:12" ht="18" customHeight="1" x14ac:dyDescent="0.15">
      <c r="A2138" s="1">
        <v>5393</v>
      </c>
      <c r="B2138" s="11" t="s">
        <v>536</v>
      </c>
      <c r="C2138" s="11" t="s">
        <v>563</v>
      </c>
      <c r="D2138" s="11">
        <v>1</v>
      </c>
      <c r="E2138" s="11" t="s">
        <v>9</v>
      </c>
      <c r="F2138" s="12">
        <v>51500</v>
      </c>
      <c r="G2138" s="12">
        <v>51500</v>
      </c>
      <c r="H2138" s="11" t="str">
        <f t="shared" si="70"/>
        <v>平成4年12月5日</v>
      </c>
      <c r="I2138" s="22">
        <f t="shared" si="71"/>
        <v>33943</v>
      </c>
      <c r="J2138" s="1" t="str">
        <f>"00748021"</f>
        <v>00748021</v>
      </c>
      <c r="K2138" s="1" t="str">
        <f>"４９６　　　　　　　　　　　　　　　　　"</f>
        <v>４９６　　　　　　　　　　　　　　　　　</v>
      </c>
      <c r="L2138" s="1"/>
    </row>
    <row r="2139" spans="1:12" ht="18" customHeight="1" x14ac:dyDescent="0.15">
      <c r="A2139" s="1">
        <v>5394</v>
      </c>
      <c r="B2139" s="11" t="s">
        <v>536</v>
      </c>
      <c r="C2139" s="11" t="s">
        <v>563</v>
      </c>
      <c r="D2139" s="11">
        <v>1</v>
      </c>
      <c r="E2139" s="11" t="s">
        <v>9</v>
      </c>
      <c r="F2139" s="12">
        <v>51500</v>
      </c>
      <c r="G2139" s="12">
        <v>51500</v>
      </c>
      <c r="H2139" s="11" t="str">
        <f t="shared" si="70"/>
        <v>平成4年12月5日</v>
      </c>
      <c r="I2139" s="22">
        <f t="shared" si="71"/>
        <v>33943</v>
      </c>
      <c r="J2139" s="1" t="str">
        <f>"00748023"</f>
        <v>00748023</v>
      </c>
      <c r="K2139" s="1" t="str">
        <f>"４９７　　　　　　　　　　　　　　　　　"</f>
        <v>４９７　　　　　　　　　　　　　　　　　</v>
      </c>
      <c r="L2139" s="1"/>
    </row>
    <row r="2140" spans="1:12" ht="18" customHeight="1" x14ac:dyDescent="0.15">
      <c r="A2140" s="1">
        <v>5395</v>
      </c>
      <c r="B2140" s="11" t="s">
        <v>536</v>
      </c>
      <c r="C2140" s="11" t="s">
        <v>563</v>
      </c>
      <c r="D2140" s="11">
        <v>1</v>
      </c>
      <c r="E2140" s="11" t="s">
        <v>9</v>
      </c>
      <c r="F2140" s="12">
        <v>51500</v>
      </c>
      <c r="G2140" s="12">
        <v>51500</v>
      </c>
      <c r="H2140" s="11" t="str">
        <f t="shared" si="70"/>
        <v>平成4年12月5日</v>
      </c>
      <c r="I2140" s="22">
        <f t="shared" si="71"/>
        <v>33943</v>
      </c>
      <c r="J2140" s="1" t="str">
        <f>"00748025"</f>
        <v>00748025</v>
      </c>
      <c r="K2140" s="1" t="str">
        <f>"４９８　　　　　　　　　　　　　　　　　"</f>
        <v>４９８　　　　　　　　　　　　　　　　　</v>
      </c>
      <c r="L2140" s="1"/>
    </row>
    <row r="2141" spans="1:12" ht="18" customHeight="1" x14ac:dyDescent="0.15">
      <c r="A2141" s="1">
        <v>5396</v>
      </c>
      <c r="B2141" s="11" t="s">
        <v>536</v>
      </c>
      <c r="C2141" s="11" t="s">
        <v>563</v>
      </c>
      <c r="D2141" s="11">
        <v>1</v>
      </c>
      <c r="E2141" s="11" t="s">
        <v>9</v>
      </c>
      <c r="F2141" s="12">
        <v>51500</v>
      </c>
      <c r="G2141" s="12">
        <v>51500</v>
      </c>
      <c r="H2141" s="11" t="str">
        <f t="shared" si="70"/>
        <v>平成4年12月5日</v>
      </c>
      <c r="I2141" s="22">
        <f t="shared" si="71"/>
        <v>33943</v>
      </c>
      <c r="J2141" s="1" t="str">
        <f>"00748026"</f>
        <v>00748026</v>
      </c>
      <c r="K2141" s="1" t="str">
        <f>"４９９　　　　　　　　　　　　　　　　　"</f>
        <v>４９９　　　　　　　　　　　　　　　　　</v>
      </c>
      <c r="L2141" s="1"/>
    </row>
    <row r="2142" spans="1:12" ht="18" customHeight="1" x14ac:dyDescent="0.15">
      <c r="A2142" s="1">
        <v>5397</v>
      </c>
      <c r="B2142" s="11" t="s">
        <v>536</v>
      </c>
      <c r="C2142" s="11" t="s">
        <v>563</v>
      </c>
      <c r="D2142" s="11">
        <v>1</v>
      </c>
      <c r="E2142" s="11" t="s">
        <v>9</v>
      </c>
      <c r="F2142" s="12">
        <v>51500</v>
      </c>
      <c r="G2142" s="12">
        <v>51500</v>
      </c>
      <c r="H2142" s="11" t="str">
        <f t="shared" si="70"/>
        <v>平成4年12月5日</v>
      </c>
      <c r="I2142" s="22">
        <f t="shared" si="71"/>
        <v>33943</v>
      </c>
      <c r="J2142" s="1" t="str">
        <f>"00748028"</f>
        <v>00748028</v>
      </c>
      <c r="K2142" s="1" t="str">
        <f>"５００　　　　　　　　　　　　　　　　　"</f>
        <v>５００　　　　　　　　　　　　　　　　　</v>
      </c>
      <c r="L2142" s="1"/>
    </row>
    <row r="2143" spans="1:12" ht="18" customHeight="1" x14ac:dyDescent="0.15">
      <c r="A2143" s="1">
        <v>5398</v>
      </c>
      <c r="B2143" s="11" t="s">
        <v>536</v>
      </c>
      <c r="C2143" s="11" t="s">
        <v>563</v>
      </c>
      <c r="D2143" s="11">
        <v>1</v>
      </c>
      <c r="E2143" s="11" t="s">
        <v>9</v>
      </c>
      <c r="F2143" s="12">
        <v>51500</v>
      </c>
      <c r="G2143" s="12">
        <v>51500</v>
      </c>
      <c r="H2143" s="11" t="str">
        <f t="shared" si="70"/>
        <v>平成4年12月5日</v>
      </c>
      <c r="I2143" s="22">
        <f t="shared" si="71"/>
        <v>33943</v>
      </c>
      <c r="J2143" s="1" t="str">
        <f>"00748031"</f>
        <v>00748031</v>
      </c>
      <c r="K2143" s="1" t="str">
        <f>"５０１　　　　　　　　　　　　　　　　　"</f>
        <v>５０１　　　　　　　　　　　　　　　　　</v>
      </c>
      <c r="L2143" s="1"/>
    </row>
    <row r="2144" spans="1:12" ht="18" customHeight="1" x14ac:dyDescent="0.15">
      <c r="A2144" s="1">
        <v>5399</v>
      </c>
      <c r="B2144" s="11" t="s">
        <v>536</v>
      </c>
      <c r="C2144" s="11" t="s">
        <v>563</v>
      </c>
      <c r="D2144" s="11">
        <v>1</v>
      </c>
      <c r="E2144" s="11" t="s">
        <v>9</v>
      </c>
      <c r="F2144" s="12">
        <v>51500</v>
      </c>
      <c r="G2144" s="12">
        <v>51500</v>
      </c>
      <c r="H2144" s="11" t="str">
        <f t="shared" si="70"/>
        <v>平成4年12月5日</v>
      </c>
      <c r="I2144" s="22">
        <f t="shared" si="71"/>
        <v>33943</v>
      </c>
      <c r="J2144" s="1" t="str">
        <f>"00748033"</f>
        <v>00748033</v>
      </c>
      <c r="K2144" s="1" t="str">
        <f>"５０２　　　　　　　　　　　　　　　　　"</f>
        <v>５０２　　　　　　　　　　　　　　　　　</v>
      </c>
      <c r="L2144" s="1"/>
    </row>
    <row r="2145" spans="1:12" ht="18" customHeight="1" x14ac:dyDescent="0.15">
      <c r="A2145" s="1">
        <v>5400</v>
      </c>
      <c r="B2145" s="11" t="s">
        <v>536</v>
      </c>
      <c r="C2145" s="11" t="s">
        <v>563</v>
      </c>
      <c r="D2145" s="11">
        <v>1</v>
      </c>
      <c r="E2145" s="11" t="s">
        <v>9</v>
      </c>
      <c r="F2145" s="12">
        <v>51500</v>
      </c>
      <c r="G2145" s="12">
        <v>51500</v>
      </c>
      <c r="H2145" s="11" t="str">
        <f t="shared" si="70"/>
        <v>平成4年12月5日</v>
      </c>
      <c r="I2145" s="22">
        <f t="shared" si="71"/>
        <v>33943</v>
      </c>
      <c r="J2145" s="1" t="str">
        <f>"00748034"</f>
        <v>00748034</v>
      </c>
      <c r="K2145" s="1" t="str">
        <f>"５０３　　　　　　　　　　　　　　　　　"</f>
        <v>５０３　　　　　　　　　　　　　　　　　</v>
      </c>
      <c r="L2145" s="1"/>
    </row>
    <row r="2146" spans="1:12" ht="18" customHeight="1" x14ac:dyDescent="0.15">
      <c r="A2146" s="1">
        <v>5401</v>
      </c>
      <c r="B2146" s="11" t="s">
        <v>536</v>
      </c>
      <c r="C2146" s="11" t="s">
        <v>563</v>
      </c>
      <c r="D2146" s="11">
        <v>1</v>
      </c>
      <c r="E2146" s="11" t="s">
        <v>9</v>
      </c>
      <c r="F2146" s="12">
        <v>51500</v>
      </c>
      <c r="G2146" s="12">
        <v>51500</v>
      </c>
      <c r="H2146" s="11" t="str">
        <f t="shared" si="70"/>
        <v>平成4年12月5日</v>
      </c>
      <c r="I2146" s="22">
        <f t="shared" si="71"/>
        <v>33943</v>
      </c>
      <c r="J2146" s="1" t="str">
        <f>"00748037"</f>
        <v>00748037</v>
      </c>
      <c r="K2146" s="1" t="str">
        <f>"５０４　　　　　　　　　　　　　　　　　"</f>
        <v>５０４　　　　　　　　　　　　　　　　　</v>
      </c>
      <c r="L2146" s="1"/>
    </row>
    <row r="2147" spans="1:12" ht="18" customHeight="1" x14ac:dyDescent="0.15">
      <c r="A2147" s="1">
        <v>5402</v>
      </c>
      <c r="B2147" s="11" t="s">
        <v>536</v>
      </c>
      <c r="C2147" s="11" t="s">
        <v>563</v>
      </c>
      <c r="D2147" s="11">
        <v>1</v>
      </c>
      <c r="E2147" s="11" t="s">
        <v>9</v>
      </c>
      <c r="F2147" s="12">
        <v>51500</v>
      </c>
      <c r="G2147" s="12">
        <v>51500</v>
      </c>
      <c r="H2147" s="11" t="str">
        <f t="shared" si="70"/>
        <v>平成4年12月5日</v>
      </c>
      <c r="I2147" s="22">
        <f t="shared" si="71"/>
        <v>33943</v>
      </c>
      <c r="J2147" s="1" t="str">
        <f>"00748039"</f>
        <v>00748039</v>
      </c>
      <c r="K2147" s="1" t="str">
        <f>"５０５　　　　　　　　　　　　　　　　　"</f>
        <v>５０５　　　　　　　　　　　　　　　　　</v>
      </c>
      <c r="L2147" s="1"/>
    </row>
    <row r="2148" spans="1:12" ht="18" customHeight="1" x14ac:dyDescent="0.15">
      <c r="A2148" s="1">
        <v>5403</v>
      </c>
      <c r="B2148" s="11" t="s">
        <v>536</v>
      </c>
      <c r="C2148" s="11" t="s">
        <v>563</v>
      </c>
      <c r="D2148" s="11">
        <v>1</v>
      </c>
      <c r="E2148" s="11" t="s">
        <v>9</v>
      </c>
      <c r="F2148" s="12">
        <v>51500</v>
      </c>
      <c r="G2148" s="12">
        <v>51500</v>
      </c>
      <c r="H2148" s="11" t="str">
        <f t="shared" si="70"/>
        <v>平成4年12月5日</v>
      </c>
      <c r="I2148" s="22">
        <f t="shared" si="71"/>
        <v>33943</v>
      </c>
      <c r="J2148" s="1" t="str">
        <f>"00748041"</f>
        <v>00748041</v>
      </c>
      <c r="K2148" s="1" t="str">
        <f>"５０６　　　　　　　　　　　　　　　　　"</f>
        <v>５０６　　　　　　　　　　　　　　　　　</v>
      </c>
      <c r="L2148" s="1"/>
    </row>
    <row r="2149" spans="1:12" ht="18" customHeight="1" x14ac:dyDescent="0.15">
      <c r="A2149" s="1">
        <v>5404</v>
      </c>
      <c r="B2149" s="11" t="s">
        <v>536</v>
      </c>
      <c r="C2149" s="11" t="s">
        <v>563</v>
      </c>
      <c r="D2149" s="11">
        <v>1</v>
      </c>
      <c r="E2149" s="11" t="s">
        <v>9</v>
      </c>
      <c r="F2149" s="12">
        <v>53600</v>
      </c>
      <c r="G2149" s="12">
        <v>53600</v>
      </c>
      <c r="H2149" s="11" t="str">
        <f t="shared" si="70"/>
        <v>平成4年12月5日</v>
      </c>
      <c r="I2149" s="22">
        <f t="shared" si="71"/>
        <v>33943</v>
      </c>
      <c r="J2149" s="1" t="str">
        <f>"00748043"</f>
        <v>00748043</v>
      </c>
      <c r="K2149" s="1" t="str">
        <f>"５０７　　　　　　　　　　　　　　　　　"</f>
        <v>５０７　　　　　　　　　　　　　　　　　</v>
      </c>
      <c r="L2149" s="1"/>
    </row>
    <row r="2150" spans="1:12" ht="18" customHeight="1" x14ac:dyDescent="0.15">
      <c r="A2150" s="1">
        <v>5405</v>
      </c>
      <c r="B2150" s="11" t="s">
        <v>536</v>
      </c>
      <c r="C2150" s="11" t="s">
        <v>563</v>
      </c>
      <c r="D2150" s="11">
        <v>1</v>
      </c>
      <c r="E2150" s="11" t="s">
        <v>9</v>
      </c>
      <c r="F2150" s="12">
        <v>53600</v>
      </c>
      <c r="G2150" s="12">
        <v>53600</v>
      </c>
      <c r="H2150" s="11" t="str">
        <f t="shared" si="70"/>
        <v>平成4年12月5日</v>
      </c>
      <c r="I2150" s="22">
        <f t="shared" si="71"/>
        <v>33943</v>
      </c>
      <c r="J2150" s="1" t="str">
        <f>"00748045"</f>
        <v>00748045</v>
      </c>
      <c r="K2150" s="1" t="str">
        <f>"５０８　　　　　　　　　　　　　　　　　"</f>
        <v>５０８　　　　　　　　　　　　　　　　　</v>
      </c>
      <c r="L2150" s="1"/>
    </row>
    <row r="2151" spans="1:12" ht="18" customHeight="1" x14ac:dyDescent="0.15">
      <c r="A2151" s="1">
        <v>5406</v>
      </c>
      <c r="B2151" s="11" t="s">
        <v>536</v>
      </c>
      <c r="C2151" s="11" t="s">
        <v>563</v>
      </c>
      <c r="D2151" s="11">
        <v>1</v>
      </c>
      <c r="E2151" s="11" t="s">
        <v>9</v>
      </c>
      <c r="F2151" s="12">
        <v>53600</v>
      </c>
      <c r="G2151" s="12">
        <v>53600</v>
      </c>
      <c r="H2151" s="11" t="str">
        <f t="shared" si="70"/>
        <v>平成4年12月5日</v>
      </c>
      <c r="I2151" s="22">
        <f t="shared" si="71"/>
        <v>33943</v>
      </c>
      <c r="J2151" s="1" t="str">
        <f>"00748047"</f>
        <v>00748047</v>
      </c>
      <c r="K2151" s="1" t="str">
        <f>"５０９　　　　　　　　　　　　　　　　　"</f>
        <v>５０９　　　　　　　　　　　　　　　　　</v>
      </c>
      <c r="L2151" s="1"/>
    </row>
    <row r="2152" spans="1:12" ht="18" customHeight="1" x14ac:dyDescent="0.15">
      <c r="A2152" s="1">
        <v>5407</v>
      </c>
      <c r="B2152" s="11" t="s">
        <v>536</v>
      </c>
      <c r="C2152" s="11" t="s">
        <v>563</v>
      </c>
      <c r="D2152" s="11">
        <v>1</v>
      </c>
      <c r="E2152" s="11" t="s">
        <v>9</v>
      </c>
      <c r="F2152" s="12">
        <v>53600</v>
      </c>
      <c r="G2152" s="12">
        <v>53600</v>
      </c>
      <c r="H2152" s="11" t="str">
        <f t="shared" si="70"/>
        <v>平成4年12月5日</v>
      </c>
      <c r="I2152" s="22">
        <f t="shared" si="71"/>
        <v>33943</v>
      </c>
      <c r="J2152" s="1" t="str">
        <f>"00748048"</f>
        <v>00748048</v>
      </c>
      <c r="K2152" s="1" t="str">
        <f>"５１０　　　　　　　　　　　　　　　　　"</f>
        <v>５１０　　　　　　　　　　　　　　　　　</v>
      </c>
      <c r="L2152" s="1"/>
    </row>
    <row r="2153" spans="1:12" ht="18" customHeight="1" x14ac:dyDescent="0.15">
      <c r="A2153" s="1">
        <v>5408</v>
      </c>
      <c r="B2153" s="11" t="s">
        <v>536</v>
      </c>
      <c r="C2153" s="11" t="s">
        <v>563</v>
      </c>
      <c r="D2153" s="11">
        <v>1</v>
      </c>
      <c r="E2153" s="11" t="s">
        <v>9</v>
      </c>
      <c r="F2153" s="12">
        <v>53600</v>
      </c>
      <c r="G2153" s="12">
        <v>53600</v>
      </c>
      <c r="H2153" s="11" t="str">
        <f t="shared" si="70"/>
        <v>平成4年12月5日</v>
      </c>
      <c r="I2153" s="22">
        <f t="shared" si="71"/>
        <v>33943</v>
      </c>
      <c r="J2153" s="1" t="str">
        <f>"00748051"</f>
        <v>00748051</v>
      </c>
      <c r="K2153" s="1" t="str">
        <f>"５１１　　　　　　　　　　　　　　　　　"</f>
        <v>５１１　　　　　　　　　　　　　　　　　</v>
      </c>
      <c r="L2153" s="1"/>
    </row>
    <row r="2154" spans="1:12" ht="18" customHeight="1" x14ac:dyDescent="0.15">
      <c r="A2154" s="1">
        <v>5409</v>
      </c>
      <c r="B2154" s="11" t="s">
        <v>536</v>
      </c>
      <c r="C2154" s="11" t="s">
        <v>563</v>
      </c>
      <c r="D2154" s="11">
        <v>1</v>
      </c>
      <c r="E2154" s="11" t="s">
        <v>9</v>
      </c>
      <c r="F2154" s="12">
        <v>53600</v>
      </c>
      <c r="G2154" s="12">
        <v>53600</v>
      </c>
      <c r="H2154" s="11" t="str">
        <f t="shared" si="70"/>
        <v>平成4年12月5日</v>
      </c>
      <c r="I2154" s="22">
        <f t="shared" si="71"/>
        <v>33943</v>
      </c>
      <c r="J2154" s="1" t="str">
        <f>"00748053"</f>
        <v>00748053</v>
      </c>
      <c r="K2154" s="1" t="str">
        <f>"５１２　　　　　　　　　　　　　　　　　"</f>
        <v>５１２　　　　　　　　　　　　　　　　　</v>
      </c>
      <c r="L2154" s="1"/>
    </row>
    <row r="2155" spans="1:12" ht="18" customHeight="1" x14ac:dyDescent="0.15">
      <c r="A2155" s="1">
        <v>5410</v>
      </c>
      <c r="B2155" s="11" t="s">
        <v>536</v>
      </c>
      <c r="C2155" s="11" t="s">
        <v>563</v>
      </c>
      <c r="D2155" s="11">
        <v>1</v>
      </c>
      <c r="E2155" s="11" t="s">
        <v>9</v>
      </c>
      <c r="F2155" s="12">
        <v>53600</v>
      </c>
      <c r="G2155" s="12">
        <v>53600</v>
      </c>
      <c r="H2155" s="11" t="str">
        <f t="shared" si="70"/>
        <v>平成4年12月5日</v>
      </c>
      <c r="I2155" s="22">
        <f t="shared" si="71"/>
        <v>33943</v>
      </c>
      <c r="J2155" s="1" t="str">
        <f>"00748055"</f>
        <v>00748055</v>
      </c>
      <c r="K2155" s="1" t="str">
        <f>"５１３　　　　　　　　　　　　　　　　　"</f>
        <v>５１３　　　　　　　　　　　　　　　　　</v>
      </c>
      <c r="L2155" s="1"/>
    </row>
    <row r="2156" spans="1:12" ht="18" customHeight="1" x14ac:dyDescent="0.15">
      <c r="A2156" s="1">
        <v>5411</v>
      </c>
      <c r="B2156" s="11" t="s">
        <v>536</v>
      </c>
      <c r="C2156" s="11" t="s">
        <v>563</v>
      </c>
      <c r="D2156" s="11">
        <v>1</v>
      </c>
      <c r="E2156" s="11" t="s">
        <v>9</v>
      </c>
      <c r="F2156" s="12">
        <v>53600</v>
      </c>
      <c r="G2156" s="12">
        <v>53600</v>
      </c>
      <c r="H2156" s="11" t="str">
        <f t="shared" si="70"/>
        <v>平成4年12月5日</v>
      </c>
      <c r="I2156" s="22">
        <f t="shared" si="71"/>
        <v>33943</v>
      </c>
      <c r="J2156" s="1" t="str">
        <f>"00748057"</f>
        <v>00748057</v>
      </c>
      <c r="K2156" s="1" t="str">
        <f>"５１４　　　　　　　　　　　　　　　　　"</f>
        <v>５１４　　　　　　　　　　　　　　　　　</v>
      </c>
      <c r="L2156" s="1"/>
    </row>
    <row r="2157" spans="1:12" ht="18" customHeight="1" x14ac:dyDescent="0.15">
      <c r="A2157" s="1">
        <v>5412</v>
      </c>
      <c r="B2157" s="11" t="s">
        <v>536</v>
      </c>
      <c r="C2157" s="11" t="s">
        <v>563</v>
      </c>
      <c r="D2157" s="11">
        <v>1</v>
      </c>
      <c r="E2157" s="11" t="s">
        <v>9</v>
      </c>
      <c r="F2157" s="12">
        <v>53600</v>
      </c>
      <c r="G2157" s="12">
        <v>53600</v>
      </c>
      <c r="H2157" s="11" t="str">
        <f t="shared" si="70"/>
        <v>平成4年12月5日</v>
      </c>
      <c r="I2157" s="22">
        <f t="shared" si="71"/>
        <v>33943</v>
      </c>
      <c r="J2157" s="1" t="str">
        <f>"00748059"</f>
        <v>00748059</v>
      </c>
      <c r="K2157" s="1" t="str">
        <f>"５１５　　　　　　　　　　　　　　　　　"</f>
        <v>５１５　　　　　　　　　　　　　　　　　</v>
      </c>
      <c r="L2157" s="1"/>
    </row>
    <row r="2158" spans="1:12" ht="18" customHeight="1" x14ac:dyDescent="0.15">
      <c r="A2158" s="1">
        <v>5413</v>
      </c>
      <c r="B2158" s="11" t="s">
        <v>536</v>
      </c>
      <c r="C2158" s="11" t="s">
        <v>563</v>
      </c>
      <c r="D2158" s="11">
        <v>1</v>
      </c>
      <c r="E2158" s="11" t="s">
        <v>9</v>
      </c>
      <c r="F2158" s="12">
        <v>53600</v>
      </c>
      <c r="G2158" s="12">
        <v>53600</v>
      </c>
      <c r="H2158" s="11" t="str">
        <f t="shared" ref="H2158:H2221" si="72">"平成4年12月5日"</f>
        <v>平成4年12月5日</v>
      </c>
      <c r="I2158" s="22">
        <f t="shared" si="71"/>
        <v>33943</v>
      </c>
      <c r="J2158" s="1" t="str">
        <f>"00748061"</f>
        <v>00748061</v>
      </c>
      <c r="K2158" s="1" t="str">
        <f>"５１６　　　　　　　　　　　　　　　　　"</f>
        <v>５１６　　　　　　　　　　　　　　　　　</v>
      </c>
      <c r="L2158" s="1"/>
    </row>
    <row r="2159" spans="1:12" ht="18" customHeight="1" x14ac:dyDescent="0.15">
      <c r="A2159" s="1">
        <v>5414</v>
      </c>
      <c r="B2159" s="11" t="s">
        <v>536</v>
      </c>
      <c r="C2159" s="11" t="s">
        <v>563</v>
      </c>
      <c r="D2159" s="11">
        <v>1</v>
      </c>
      <c r="E2159" s="11" t="s">
        <v>9</v>
      </c>
      <c r="F2159" s="12">
        <v>53600</v>
      </c>
      <c r="G2159" s="12">
        <v>53600</v>
      </c>
      <c r="H2159" s="11" t="str">
        <f t="shared" si="72"/>
        <v>平成4年12月5日</v>
      </c>
      <c r="I2159" s="22">
        <f t="shared" si="71"/>
        <v>33943</v>
      </c>
      <c r="J2159" s="1" t="str">
        <f>"00748063"</f>
        <v>00748063</v>
      </c>
      <c r="K2159" s="1" t="str">
        <f>"５１７　　　　　　　　　　　　　　　　　"</f>
        <v>５１７　　　　　　　　　　　　　　　　　</v>
      </c>
      <c r="L2159" s="1"/>
    </row>
    <row r="2160" spans="1:12" ht="18" customHeight="1" x14ac:dyDescent="0.15">
      <c r="A2160" s="1">
        <v>5415</v>
      </c>
      <c r="B2160" s="11" t="s">
        <v>536</v>
      </c>
      <c r="C2160" s="11" t="s">
        <v>563</v>
      </c>
      <c r="D2160" s="11">
        <v>1</v>
      </c>
      <c r="E2160" s="11" t="s">
        <v>9</v>
      </c>
      <c r="F2160" s="12">
        <v>53600</v>
      </c>
      <c r="G2160" s="12">
        <v>53600</v>
      </c>
      <c r="H2160" s="11" t="str">
        <f t="shared" si="72"/>
        <v>平成4年12月5日</v>
      </c>
      <c r="I2160" s="22">
        <f t="shared" si="71"/>
        <v>33943</v>
      </c>
      <c r="J2160" s="1" t="str">
        <f>"00748065"</f>
        <v>00748065</v>
      </c>
      <c r="K2160" s="1" t="str">
        <f>"５１８　　　　　　　　　　　　　　　　　"</f>
        <v>５１８　　　　　　　　　　　　　　　　　</v>
      </c>
      <c r="L2160" s="1"/>
    </row>
    <row r="2161" spans="1:12" ht="18" customHeight="1" x14ac:dyDescent="0.15">
      <c r="A2161" s="1">
        <v>5416</v>
      </c>
      <c r="B2161" s="11" t="s">
        <v>536</v>
      </c>
      <c r="C2161" s="11" t="s">
        <v>563</v>
      </c>
      <c r="D2161" s="11">
        <v>1</v>
      </c>
      <c r="E2161" s="11" t="s">
        <v>9</v>
      </c>
      <c r="F2161" s="12">
        <v>53600</v>
      </c>
      <c r="G2161" s="12">
        <v>53600</v>
      </c>
      <c r="H2161" s="11" t="str">
        <f t="shared" si="72"/>
        <v>平成4年12月5日</v>
      </c>
      <c r="I2161" s="22">
        <f t="shared" si="71"/>
        <v>33943</v>
      </c>
      <c r="J2161" s="1" t="str">
        <f>"00748067"</f>
        <v>00748067</v>
      </c>
      <c r="K2161" s="1" t="str">
        <f>"５１９　　　　　　　　　　　　　　　　　"</f>
        <v>５１９　　　　　　　　　　　　　　　　　</v>
      </c>
      <c r="L2161" s="1"/>
    </row>
    <row r="2162" spans="1:12" ht="18" customHeight="1" x14ac:dyDescent="0.15">
      <c r="A2162" s="1">
        <v>5417</v>
      </c>
      <c r="B2162" s="11" t="s">
        <v>536</v>
      </c>
      <c r="C2162" s="11" t="s">
        <v>563</v>
      </c>
      <c r="D2162" s="11">
        <v>1</v>
      </c>
      <c r="E2162" s="11" t="s">
        <v>9</v>
      </c>
      <c r="F2162" s="12">
        <v>53600</v>
      </c>
      <c r="G2162" s="12">
        <v>53600</v>
      </c>
      <c r="H2162" s="11" t="str">
        <f t="shared" si="72"/>
        <v>平成4年12月5日</v>
      </c>
      <c r="I2162" s="22">
        <f t="shared" si="71"/>
        <v>33943</v>
      </c>
      <c r="J2162" s="1" t="str">
        <f>"00748069"</f>
        <v>00748069</v>
      </c>
      <c r="K2162" s="1" t="str">
        <f>"５２０　　　　　　　　　　　　　　　　　"</f>
        <v>５２０　　　　　　　　　　　　　　　　　</v>
      </c>
      <c r="L2162" s="1"/>
    </row>
    <row r="2163" spans="1:12" ht="18" customHeight="1" x14ac:dyDescent="0.15">
      <c r="A2163" s="1">
        <v>5418</v>
      </c>
      <c r="B2163" s="11" t="s">
        <v>536</v>
      </c>
      <c r="C2163" s="11" t="s">
        <v>563</v>
      </c>
      <c r="D2163" s="11">
        <v>1</v>
      </c>
      <c r="E2163" s="11" t="s">
        <v>9</v>
      </c>
      <c r="F2163" s="12">
        <v>53600</v>
      </c>
      <c r="G2163" s="12">
        <v>53600</v>
      </c>
      <c r="H2163" s="11" t="str">
        <f t="shared" si="72"/>
        <v>平成4年12月5日</v>
      </c>
      <c r="I2163" s="22">
        <f t="shared" si="71"/>
        <v>33943</v>
      </c>
      <c r="J2163" s="1" t="str">
        <f>"00748070"</f>
        <v>00748070</v>
      </c>
      <c r="K2163" s="1" t="str">
        <f>"５２１　　　　　　　　　　　　　　　　　"</f>
        <v>５２１　　　　　　　　　　　　　　　　　</v>
      </c>
      <c r="L2163" s="1"/>
    </row>
    <row r="2164" spans="1:12" ht="18" customHeight="1" x14ac:dyDescent="0.15">
      <c r="A2164" s="1">
        <v>5419</v>
      </c>
      <c r="B2164" s="11" t="s">
        <v>536</v>
      </c>
      <c r="C2164" s="11" t="s">
        <v>563</v>
      </c>
      <c r="D2164" s="11">
        <v>1</v>
      </c>
      <c r="E2164" s="11" t="s">
        <v>9</v>
      </c>
      <c r="F2164" s="12">
        <v>53600</v>
      </c>
      <c r="G2164" s="12">
        <v>53600</v>
      </c>
      <c r="H2164" s="11" t="str">
        <f t="shared" si="72"/>
        <v>平成4年12月5日</v>
      </c>
      <c r="I2164" s="22">
        <f t="shared" si="71"/>
        <v>33943</v>
      </c>
      <c r="J2164" s="1" t="str">
        <f>"00748072"</f>
        <v>00748072</v>
      </c>
      <c r="K2164" s="1" t="str">
        <f>"５２２　　　　　　　　　　　　　　　　　"</f>
        <v>５２２　　　　　　　　　　　　　　　　　</v>
      </c>
      <c r="L2164" s="1"/>
    </row>
    <row r="2165" spans="1:12" ht="18" customHeight="1" x14ac:dyDescent="0.15">
      <c r="A2165" s="1">
        <v>5420</v>
      </c>
      <c r="B2165" s="11" t="s">
        <v>536</v>
      </c>
      <c r="C2165" s="11" t="s">
        <v>563</v>
      </c>
      <c r="D2165" s="11">
        <v>1</v>
      </c>
      <c r="E2165" s="11" t="s">
        <v>9</v>
      </c>
      <c r="F2165" s="12">
        <v>53600</v>
      </c>
      <c r="G2165" s="12">
        <v>53600</v>
      </c>
      <c r="H2165" s="11" t="str">
        <f t="shared" si="72"/>
        <v>平成4年12月5日</v>
      </c>
      <c r="I2165" s="22">
        <f t="shared" si="71"/>
        <v>33943</v>
      </c>
      <c r="J2165" s="1" t="str">
        <f>"00748074"</f>
        <v>00748074</v>
      </c>
      <c r="K2165" s="1" t="str">
        <f>"５２３　　　　　　　　　　　　　　　　　"</f>
        <v>５２３　　　　　　　　　　　　　　　　　</v>
      </c>
      <c r="L2165" s="1"/>
    </row>
    <row r="2166" spans="1:12" ht="18" customHeight="1" x14ac:dyDescent="0.15">
      <c r="A2166" s="1">
        <v>5421</v>
      </c>
      <c r="B2166" s="11" t="s">
        <v>536</v>
      </c>
      <c r="C2166" s="11" t="s">
        <v>563</v>
      </c>
      <c r="D2166" s="11">
        <v>1</v>
      </c>
      <c r="E2166" s="11" t="s">
        <v>9</v>
      </c>
      <c r="F2166" s="12">
        <v>53600</v>
      </c>
      <c r="G2166" s="12">
        <v>53600</v>
      </c>
      <c r="H2166" s="11" t="str">
        <f t="shared" si="72"/>
        <v>平成4年12月5日</v>
      </c>
      <c r="I2166" s="22">
        <f t="shared" si="71"/>
        <v>33943</v>
      </c>
      <c r="J2166" s="1" t="str">
        <f>"00748076"</f>
        <v>00748076</v>
      </c>
      <c r="K2166" s="1" t="str">
        <f>"５２４　　　　　　　　　　　　　　　　　"</f>
        <v>５２４　　　　　　　　　　　　　　　　　</v>
      </c>
      <c r="L2166" s="1"/>
    </row>
    <row r="2167" spans="1:12" ht="18" customHeight="1" x14ac:dyDescent="0.15">
      <c r="A2167" s="1">
        <v>5422</v>
      </c>
      <c r="B2167" s="11" t="s">
        <v>536</v>
      </c>
      <c r="C2167" s="11" t="s">
        <v>563</v>
      </c>
      <c r="D2167" s="11">
        <v>1</v>
      </c>
      <c r="E2167" s="11" t="s">
        <v>9</v>
      </c>
      <c r="F2167" s="12">
        <v>53600</v>
      </c>
      <c r="G2167" s="12">
        <v>53600</v>
      </c>
      <c r="H2167" s="11" t="str">
        <f t="shared" si="72"/>
        <v>平成4年12月5日</v>
      </c>
      <c r="I2167" s="22">
        <f t="shared" si="71"/>
        <v>33943</v>
      </c>
      <c r="J2167" s="1" t="str">
        <f>"00748078"</f>
        <v>00748078</v>
      </c>
      <c r="K2167" s="1" t="str">
        <f>"５２５　　　　　　　　　　　　　　　　　"</f>
        <v>５２５　　　　　　　　　　　　　　　　　</v>
      </c>
      <c r="L2167" s="1"/>
    </row>
    <row r="2168" spans="1:12" ht="18" customHeight="1" x14ac:dyDescent="0.15">
      <c r="A2168" s="1">
        <v>5423</v>
      </c>
      <c r="B2168" s="11" t="s">
        <v>536</v>
      </c>
      <c r="C2168" s="11" t="s">
        <v>563</v>
      </c>
      <c r="D2168" s="11">
        <v>1</v>
      </c>
      <c r="E2168" s="11" t="s">
        <v>9</v>
      </c>
      <c r="F2168" s="12">
        <v>53600</v>
      </c>
      <c r="G2168" s="12">
        <v>53600</v>
      </c>
      <c r="H2168" s="11" t="str">
        <f t="shared" si="72"/>
        <v>平成4年12月5日</v>
      </c>
      <c r="I2168" s="22">
        <f t="shared" si="71"/>
        <v>33943</v>
      </c>
      <c r="J2168" s="1" t="str">
        <f>"00748080"</f>
        <v>00748080</v>
      </c>
      <c r="K2168" s="1" t="str">
        <f>"５２６　　　　　　　　　　　　　　　　　"</f>
        <v>５２６　　　　　　　　　　　　　　　　　</v>
      </c>
      <c r="L2168" s="1"/>
    </row>
    <row r="2169" spans="1:12" ht="18" customHeight="1" x14ac:dyDescent="0.15">
      <c r="A2169" s="1">
        <v>5424</v>
      </c>
      <c r="B2169" s="11" t="s">
        <v>536</v>
      </c>
      <c r="C2169" s="11" t="s">
        <v>564</v>
      </c>
      <c r="D2169" s="11">
        <v>1</v>
      </c>
      <c r="E2169" s="11" t="s">
        <v>9</v>
      </c>
      <c r="F2169" s="12">
        <v>24400</v>
      </c>
      <c r="G2169" s="12">
        <v>24400</v>
      </c>
      <c r="H2169" s="11" t="str">
        <f t="shared" si="72"/>
        <v>平成4年12月5日</v>
      </c>
      <c r="I2169" s="22">
        <f t="shared" si="71"/>
        <v>33943</v>
      </c>
      <c r="J2169" s="1" t="str">
        <f>"00748082"</f>
        <v>00748082</v>
      </c>
      <c r="K2169" s="1" t="str">
        <f>"５２７　　　　　　　　　　　　　　　　　"</f>
        <v>５２７　　　　　　　　　　　　　　　　　</v>
      </c>
      <c r="L2169" s="1"/>
    </row>
    <row r="2170" spans="1:12" ht="18" customHeight="1" x14ac:dyDescent="0.15">
      <c r="A2170" s="1">
        <v>5425</v>
      </c>
      <c r="B2170" s="11" t="s">
        <v>536</v>
      </c>
      <c r="C2170" s="11" t="s">
        <v>564</v>
      </c>
      <c r="D2170" s="11">
        <v>1</v>
      </c>
      <c r="E2170" s="11" t="s">
        <v>9</v>
      </c>
      <c r="F2170" s="12">
        <v>24400</v>
      </c>
      <c r="G2170" s="12">
        <v>24400</v>
      </c>
      <c r="H2170" s="11" t="str">
        <f t="shared" si="72"/>
        <v>平成4年12月5日</v>
      </c>
      <c r="I2170" s="22">
        <f t="shared" si="71"/>
        <v>33943</v>
      </c>
      <c r="J2170" s="1" t="str">
        <f>"00748084"</f>
        <v>00748084</v>
      </c>
      <c r="K2170" s="1" t="str">
        <f>"５２８　　　　　　　　　　　　　　　　　"</f>
        <v>５２８　　　　　　　　　　　　　　　　　</v>
      </c>
      <c r="L2170" s="1"/>
    </row>
    <row r="2171" spans="1:12" ht="18" customHeight="1" x14ac:dyDescent="0.15">
      <c r="A2171" s="1">
        <v>5426</v>
      </c>
      <c r="B2171" s="11" t="s">
        <v>536</v>
      </c>
      <c r="C2171" s="11" t="s">
        <v>564</v>
      </c>
      <c r="D2171" s="11">
        <v>1</v>
      </c>
      <c r="E2171" s="11" t="s">
        <v>9</v>
      </c>
      <c r="F2171" s="12">
        <v>24400</v>
      </c>
      <c r="G2171" s="12">
        <v>24400</v>
      </c>
      <c r="H2171" s="11" t="str">
        <f t="shared" si="72"/>
        <v>平成4年12月5日</v>
      </c>
      <c r="I2171" s="22">
        <f t="shared" si="71"/>
        <v>33943</v>
      </c>
      <c r="J2171" s="1" t="str">
        <f>"00748086"</f>
        <v>00748086</v>
      </c>
      <c r="K2171" s="1" t="str">
        <f>"５２９　　　　　　　　　　　　　　　　　"</f>
        <v>５２９　　　　　　　　　　　　　　　　　</v>
      </c>
      <c r="L2171" s="1"/>
    </row>
    <row r="2172" spans="1:12" ht="18" customHeight="1" x14ac:dyDescent="0.15">
      <c r="A2172" s="1">
        <v>5427</v>
      </c>
      <c r="B2172" s="11" t="s">
        <v>536</v>
      </c>
      <c r="C2172" s="11" t="s">
        <v>564</v>
      </c>
      <c r="D2172" s="11">
        <v>1</v>
      </c>
      <c r="E2172" s="11" t="s">
        <v>9</v>
      </c>
      <c r="F2172" s="12">
        <v>24400</v>
      </c>
      <c r="G2172" s="12">
        <v>24400</v>
      </c>
      <c r="H2172" s="11" t="str">
        <f t="shared" si="72"/>
        <v>平成4年12月5日</v>
      </c>
      <c r="I2172" s="22">
        <f t="shared" si="71"/>
        <v>33943</v>
      </c>
      <c r="J2172" s="1" t="str">
        <f>"00748088"</f>
        <v>00748088</v>
      </c>
      <c r="K2172" s="1" t="str">
        <f>"５３０　　　　　　　　　　　　　　　　　"</f>
        <v>５３０　　　　　　　　　　　　　　　　　</v>
      </c>
      <c r="L2172" s="1"/>
    </row>
    <row r="2173" spans="1:12" ht="18" customHeight="1" x14ac:dyDescent="0.15">
      <c r="A2173" s="1">
        <v>5428</v>
      </c>
      <c r="B2173" s="11" t="s">
        <v>536</v>
      </c>
      <c r="C2173" s="11" t="s">
        <v>564</v>
      </c>
      <c r="D2173" s="11">
        <v>1</v>
      </c>
      <c r="E2173" s="11" t="s">
        <v>9</v>
      </c>
      <c r="F2173" s="12">
        <v>24400</v>
      </c>
      <c r="G2173" s="12">
        <v>24400</v>
      </c>
      <c r="H2173" s="11" t="str">
        <f t="shared" si="72"/>
        <v>平成4年12月5日</v>
      </c>
      <c r="I2173" s="22">
        <f t="shared" si="71"/>
        <v>33943</v>
      </c>
      <c r="J2173" s="1" t="str">
        <f>"00748090"</f>
        <v>00748090</v>
      </c>
      <c r="K2173" s="1" t="str">
        <f>"５３１　　　　　　　　　　　　　　　　　"</f>
        <v>５３１　　　　　　　　　　　　　　　　　</v>
      </c>
      <c r="L2173" s="1"/>
    </row>
    <row r="2174" spans="1:12" ht="18" customHeight="1" x14ac:dyDescent="0.15">
      <c r="A2174" s="1">
        <v>5429</v>
      </c>
      <c r="B2174" s="11" t="s">
        <v>536</v>
      </c>
      <c r="C2174" s="11" t="s">
        <v>564</v>
      </c>
      <c r="D2174" s="11">
        <v>1</v>
      </c>
      <c r="E2174" s="11" t="s">
        <v>9</v>
      </c>
      <c r="F2174" s="12">
        <v>24400</v>
      </c>
      <c r="G2174" s="12">
        <v>24400</v>
      </c>
      <c r="H2174" s="11" t="str">
        <f t="shared" si="72"/>
        <v>平成4年12月5日</v>
      </c>
      <c r="I2174" s="22">
        <f t="shared" si="71"/>
        <v>33943</v>
      </c>
      <c r="J2174" s="1" t="str">
        <f>"00748092"</f>
        <v>00748092</v>
      </c>
      <c r="K2174" s="1" t="str">
        <f>"５３２　　　　　　　　　　　　　　　　　"</f>
        <v>５３２　　　　　　　　　　　　　　　　　</v>
      </c>
      <c r="L2174" s="1"/>
    </row>
    <row r="2175" spans="1:12" ht="18" customHeight="1" x14ac:dyDescent="0.15">
      <c r="A2175" s="1">
        <v>5430</v>
      </c>
      <c r="B2175" s="11" t="s">
        <v>536</v>
      </c>
      <c r="C2175" s="11" t="s">
        <v>564</v>
      </c>
      <c r="D2175" s="11">
        <v>1</v>
      </c>
      <c r="E2175" s="11" t="s">
        <v>9</v>
      </c>
      <c r="F2175" s="12">
        <v>24400</v>
      </c>
      <c r="G2175" s="12">
        <v>24400</v>
      </c>
      <c r="H2175" s="11" t="str">
        <f t="shared" si="72"/>
        <v>平成4年12月5日</v>
      </c>
      <c r="I2175" s="22">
        <f t="shared" si="71"/>
        <v>33943</v>
      </c>
      <c r="J2175" s="1" t="str">
        <f>"00748094"</f>
        <v>00748094</v>
      </c>
      <c r="K2175" s="1" t="str">
        <f>"５３３　　　　　　　　　　　　　　　　　"</f>
        <v>５３３　　　　　　　　　　　　　　　　　</v>
      </c>
      <c r="L2175" s="1"/>
    </row>
    <row r="2176" spans="1:12" ht="18" customHeight="1" x14ac:dyDescent="0.15">
      <c r="A2176" s="1">
        <v>5431</v>
      </c>
      <c r="B2176" s="11" t="s">
        <v>536</v>
      </c>
      <c r="C2176" s="11" t="s">
        <v>564</v>
      </c>
      <c r="D2176" s="11">
        <v>1</v>
      </c>
      <c r="E2176" s="11" t="s">
        <v>9</v>
      </c>
      <c r="F2176" s="12">
        <v>24400</v>
      </c>
      <c r="G2176" s="12">
        <v>24400</v>
      </c>
      <c r="H2176" s="11" t="str">
        <f t="shared" si="72"/>
        <v>平成4年12月5日</v>
      </c>
      <c r="I2176" s="22">
        <f t="shared" si="71"/>
        <v>33943</v>
      </c>
      <c r="J2176" s="1" t="str">
        <f>"00748096"</f>
        <v>00748096</v>
      </c>
      <c r="K2176" s="1" t="str">
        <f>"５３４　　　　　　　　　　　　　　　　　"</f>
        <v>５３４　　　　　　　　　　　　　　　　　</v>
      </c>
      <c r="L2176" s="1"/>
    </row>
    <row r="2177" spans="1:12" ht="18" customHeight="1" x14ac:dyDescent="0.15">
      <c r="A2177" s="1">
        <v>5432</v>
      </c>
      <c r="B2177" s="11" t="s">
        <v>536</v>
      </c>
      <c r="C2177" s="11" t="s">
        <v>564</v>
      </c>
      <c r="D2177" s="11">
        <v>1</v>
      </c>
      <c r="E2177" s="11" t="s">
        <v>9</v>
      </c>
      <c r="F2177" s="12">
        <v>24400</v>
      </c>
      <c r="G2177" s="12">
        <v>24400</v>
      </c>
      <c r="H2177" s="11" t="str">
        <f t="shared" si="72"/>
        <v>平成4年12月5日</v>
      </c>
      <c r="I2177" s="22">
        <f t="shared" si="71"/>
        <v>33943</v>
      </c>
      <c r="J2177" s="1" t="str">
        <f>"00748099"</f>
        <v>00748099</v>
      </c>
      <c r="K2177" s="1" t="str">
        <f>"５３５　　　　　　　　　　　　　　　　　"</f>
        <v>５３５　　　　　　　　　　　　　　　　　</v>
      </c>
      <c r="L2177" s="1"/>
    </row>
    <row r="2178" spans="1:12" ht="18" customHeight="1" x14ac:dyDescent="0.15">
      <c r="A2178" s="1">
        <v>5433</v>
      </c>
      <c r="B2178" s="11" t="s">
        <v>536</v>
      </c>
      <c r="C2178" s="11" t="s">
        <v>564</v>
      </c>
      <c r="D2178" s="11">
        <v>1</v>
      </c>
      <c r="E2178" s="11" t="s">
        <v>9</v>
      </c>
      <c r="F2178" s="12">
        <v>24400</v>
      </c>
      <c r="G2178" s="12">
        <v>24400</v>
      </c>
      <c r="H2178" s="11" t="str">
        <f t="shared" si="72"/>
        <v>平成4年12月5日</v>
      </c>
      <c r="I2178" s="22">
        <f t="shared" si="71"/>
        <v>33943</v>
      </c>
      <c r="J2178" s="1" t="str">
        <f>"00748101"</f>
        <v>00748101</v>
      </c>
      <c r="K2178" s="1" t="str">
        <f>"５３６　　　　　　　　　　　　　　　　　"</f>
        <v>５３６　　　　　　　　　　　　　　　　　</v>
      </c>
      <c r="L2178" s="1"/>
    </row>
    <row r="2179" spans="1:12" ht="18" customHeight="1" x14ac:dyDescent="0.15">
      <c r="A2179" s="1">
        <v>5434</v>
      </c>
      <c r="B2179" s="11" t="s">
        <v>536</v>
      </c>
      <c r="C2179" s="11" t="s">
        <v>564</v>
      </c>
      <c r="D2179" s="11">
        <v>1</v>
      </c>
      <c r="E2179" s="11" t="s">
        <v>9</v>
      </c>
      <c r="F2179" s="12">
        <v>24400</v>
      </c>
      <c r="G2179" s="12">
        <v>24400</v>
      </c>
      <c r="H2179" s="11" t="str">
        <f t="shared" si="72"/>
        <v>平成4年12月5日</v>
      </c>
      <c r="I2179" s="22">
        <f t="shared" si="71"/>
        <v>33943</v>
      </c>
      <c r="J2179" s="1" t="str">
        <f>"00748103"</f>
        <v>00748103</v>
      </c>
      <c r="K2179" s="1" t="str">
        <f>"５３７　　　　　　　　　　　　　　　　　"</f>
        <v>５３７　　　　　　　　　　　　　　　　　</v>
      </c>
      <c r="L2179" s="1"/>
    </row>
    <row r="2180" spans="1:12" ht="18" customHeight="1" x14ac:dyDescent="0.15">
      <c r="A2180" s="1">
        <v>5435</v>
      </c>
      <c r="B2180" s="11" t="s">
        <v>536</v>
      </c>
      <c r="C2180" s="11" t="s">
        <v>564</v>
      </c>
      <c r="D2180" s="11">
        <v>1</v>
      </c>
      <c r="E2180" s="11" t="s">
        <v>9</v>
      </c>
      <c r="F2180" s="12">
        <v>24400</v>
      </c>
      <c r="G2180" s="12">
        <v>24400</v>
      </c>
      <c r="H2180" s="11" t="str">
        <f t="shared" si="72"/>
        <v>平成4年12月5日</v>
      </c>
      <c r="I2180" s="22">
        <f t="shared" si="71"/>
        <v>33943</v>
      </c>
      <c r="J2180" s="1" t="str">
        <f>"00748105"</f>
        <v>00748105</v>
      </c>
      <c r="K2180" s="1" t="str">
        <f>"５３８　　　　　　　　　　　　　　　　　"</f>
        <v>５３８　　　　　　　　　　　　　　　　　</v>
      </c>
      <c r="L2180" s="1"/>
    </row>
    <row r="2181" spans="1:12" ht="18" customHeight="1" x14ac:dyDescent="0.15">
      <c r="A2181" s="1">
        <v>5436</v>
      </c>
      <c r="B2181" s="11" t="s">
        <v>536</v>
      </c>
      <c r="C2181" s="11" t="s">
        <v>564</v>
      </c>
      <c r="D2181" s="11">
        <v>1</v>
      </c>
      <c r="E2181" s="11" t="s">
        <v>9</v>
      </c>
      <c r="F2181" s="12">
        <v>24400</v>
      </c>
      <c r="G2181" s="12">
        <v>24400</v>
      </c>
      <c r="H2181" s="11" t="str">
        <f t="shared" si="72"/>
        <v>平成4年12月5日</v>
      </c>
      <c r="I2181" s="22">
        <f t="shared" si="71"/>
        <v>33943</v>
      </c>
      <c r="J2181" s="1" t="str">
        <f>"00748107"</f>
        <v>00748107</v>
      </c>
      <c r="K2181" s="1" t="str">
        <f>"５３９　　　　　　　　　　　　　　　　　"</f>
        <v>５３９　　　　　　　　　　　　　　　　　</v>
      </c>
      <c r="L2181" s="1"/>
    </row>
    <row r="2182" spans="1:12" ht="18" customHeight="1" x14ac:dyDescent="0.15">
      <c r="A2182" s="1">
        <v>5437</v>
      </c>
      <c r="B2182" s="11" t="s">
        <v>536</v>
      </c>
      <c r="C2182" s="11" t="s">
        <v>564</v>
      </c>
      <c r="D2182" s="11">
        <v>1</v>
      </c>
      <c r="E2182" s="11" t="s">
        <v>9</v>
      </c>
      <c r="F2182" s="12">
        <v>24400</v>
      </c>
      <c r="G2182" s="12">
        <v>24400</v>
      </c>
      <c r="H2182" s="11" t="str">
        <f t="shared" si="72"/>
        <v>平成4年12月5日</v>
      </c>
      <c r="I2182" s="22">
        <f t="shared" si="71"/>
        <v>33943</v>
      </c>
      <c r="J2182" s="1" t="str">
        <f>"00748109"</f>
        <v>00748109</v>
      </c>
      <c r="K2182" s="1" t="str">
        <f>"５４０　　　　　　　　　　　　　　　　　"</f>
        <v>５４０　　　　　　　　　　　　　　　　　</v>
      </c>
      <c r="L2182" s="1"/>
    </row>
    <row r="2183" spans="1:12" ht="18" customHeight="1" x14ac:dyDescent="0.15">
      <c r="A2183" s="1">
        <v>5438</v>
      </c>
      <c r="B2183" s="11" t="s">
        <v>536</v>
      </c>
      <c r="C2183" s="11" t="s">
        <v>564</v>
      </c>
      <c r="D2183" s="11">
        <v>1</v>
      </c>
      <c r="E2183" s="11" t="s">
        <v>9</v>
      </c>
      <c r="F2183" s="12">
        <v>24400</v>
      </c>
      <c r="G2183" s="12">
        <v>24400</v>
      </c>
      <c r="H2183" s="11" t="str">
        <f t="shared" si="72"/>
        <v>平成4年12月5日</v>
      </c>
      <c r="I2183" s="22">
        <f t="shared" si="71"/>
        <v>33943</v>
      </c>
      <c r="J2183" s="1" t="str">
        <f>"00748111"</f>
        <v>00748111</v>
      </c>
      <c r="K2183" s="1" t="str">
        <f>"５４１　　　　　　　　　　　　　　　　　"</f>
        <v>５４１　　　　　　　　　　　　　　　　　</v>
      </c>
      <c r="L2183" s="1"/>
    </row>
    <row r="2184" spans="1:12" ht="18" customHeight="1" x14ac:dyDescent="0.15">
      <c r="A2184" s="1">
        <v>5439</v>
      </c>
      <c r="B2184" s="11" t="s">
        <v>536</v>
      </c>
      <c r="C2184" s="11" t="s">
        <v>564</v>
      </c>
      <c r="D2184" s="11">
        <v>1</v>
      </c>
      <c r="E2184" s="11" t="s">
        <v>9</v>
      </c>
      <c r="F2184" s="12">
        <v>24400</v>
      </c>
      <c r="G2184" s="12">
        <v>24400</v>
      </c>
      <c r="H2184" s="11" t="str">
        <f t="shared" si="72"/>
        <v>平成4年12月5日</v>
      </c>
      <c r="I2184" s="22">
        <f t="shared" si="71"/>
        <v>33943</v>
      </c>
      <c r="J2184" s="1" t="str">
        <f>"00748113"</f>
        <v>00748113</v>
      </c>
      <c r="K2184" s="1" t="str">
        <f>"５４２　　　　　　　　　　　　　　　　　"</f>
        <v>５４２　　　　　　　　　　　　　　　　　</v>
      </c>
      <c r="L2184" s="1"/>
    </row>
    <row r="2185" spans="1:12" ht="18" customHeight="1" x14ac:dyDescent="0.15">
      <c r="A2185" s="1">
        <v>5440</v>
      </c>
      <c r="B2185" s="11" t="s">
        <v>536</v>
      </c>
      <c r="C2185" s="11" t="s">
        <v>564</v>
      </c>
      <c r="D2185" s="11">
        <v>1</v>
      </c>
      <c r="E2185" s="11" t="s">
        <v>9</v>
      </c>
      <c r="F2185" s="12">
        <v>24400</v>
      </c>
      <c r="G2185" s="12">
        <v>24400</v>
      </c>
      <c r="H2185" s="11" t="str">
        <f t="shared" si="72"/>
        <v>平成4年12月5日</v>
      </c>
      <c r="I2185" s="22">
        <f t="shared" si="71"/>
        <v>33943</v>
      </c>
      <c r="J2185" s="1" t="str">
        <f>"00748115"</f>
        <v>00748115</v>
      </c>
      <c r="K2185" s="1" t="str">
        <f>"５４３　　　　　　　　　　　　　　　　　"</f>
        <v>５４３　　　　　　　　　　　　　　　　　</v>
      </c>
      <c r="L2185" s="1"/>
    </row>
    <row r="2186" spans="1:12" ht="18" customHeight="1" x14ac:dyDescent="0.15">
      <c r="A2186" s="1">
        <v>5441</v>
      </c>
      <c r="B2186" s="11" t="s">
        <v>536</v>
      </c>
      <c r="C2186" s="11" t="s">
        <v>564</v>
      </c>
      <c r="D2186" s="11">
        <v>1</v>
      </c>
      <c r="E2186" s="11" t="s">
        <v>9</v>
      </c>
      <c r="F2186" s="12">
        <v>24400</v>
      </c>
      <c r="G2186" s="12">
        <v>24400</v>
      </c>
      <c r="H2186" s="11" t="str">
        <f t="shared" si="72"/>
        <v>平成4年12月5日</v>
      </c>
      <c r="I2186" s="22">
        <f t="shared" si="71"/>
        <v>33943</v>
      </c>
      <c r="J2186" s="1" t="str">
        <f>"00748117"</f>
        <v>00748117</v>
      </c>
      <c r="K2186" s="1" t="str">
        <f>"５４４　　　　　　　　　　　　　　　　　"</f>
        <v>５４４　　　　　　　　　　　　　　　　　</v>
      </c>
      <c r="L2186" s="1"/>
    </row>
    <row r="2187" spans="1:12" ht="18" customHeight="1" x14ac:dyDescent="0.15">
      <c r="A2187" s="1">
        <v>5442</v>
      </c>
      <c r="B2187" s="11" t="s">
        <v>536</v>
      </c>
      <c r="C2187" s="11" t="s">
        <v>564</v>
      </c>
      <c r="D2187" s="11">
        <v>1</v>
      </c>
      <c r="E2187" s="11" t="s">
        <v>9</v>
      </c>
      <c r="F2187" s="12">
        <v>24400</v>
      </c>
      <c r="G2187" s="12">
        <v>24400</v>
      </c>
      <c r="H2187" s="11" t="str">
        <f t="shared" si="72"/>
        <v>平成4年12月5日</v>
      </c>
      <c r="I2187" s="22">
        <f t="shared" si="71"/>
        <v>33943</v>
      </c>
      <c r="J2187" s="1" t="str">
        <f>"00748119"</f>
        <v>00748119</v>
      </c>
      <c r="K2187" s="1" t="str">
        <f>"５４５　　　　　　　　　　　　　　　　　"</f>
        <v>５４５　　　　　　　　　　　　　　　　　</v>
      </c>
      <c r="L2187" s="1"/>
    </row>
    <row r="2188" spans="1:12" ht="18" customHeight="1" x14ac:dyDescent="0.15">
      <c r="A2188" s="1">
        <v>5443</v>
      </c>
      <c r="B2188" s="11" t="s">
        <v>536</v>
      </c>
      <c r="C2188" s="11" t="s">
        <v>564</v>
      </c>
      <c r="D2188" s="11">
        <v>1</v>
      </c>
      <c r="E2188" s="11" t="s">
        <v>9</v>
      </c>
      <c r="F2188" s="12">
        <v>24400</v>
      </c>
      <c r="G2188" s="12">
        <v>24400</v>
      </c>
      <c r="H2188" s="11" t="str">
        <f t="shared" si="72"/>
        <v>平成4年12月5日</v>
      </c>
      <c r="I2188" s="22">
        <f t="shared" si="71"/>
        <v>33943</v>
      </c>
      <c r="J2188" s="1" t="str">
        <f>"00748121"</f>
        <v>00748121</v>
      </c>
      <c r="K2188" s="1" t="str">
        <f>"５４６　　　　　　　　　　　　　　　　　"</f>
        <v>５４６　　　　　　　　　　　　　　　　　</v>
      </c>
      <c r="L2188" s="1"/>
    </row>
    <row r="2189" spans="1:12" ht="18" customHeight="1" x14ac:dyDescent="0.15">
      <c r="A2189" s="1">
        <v>5444</v>
      </c>
      <c r="B2189" s="11" t="s">
        <v>536</v>
      </c>
      <c r="C2189" s="11" t="s">
        <v>565</v>
      </c>
      <c r="D2189" s="11">
        <v>1</v>
      </c>
      <c r="E2189" s="11" t="s">
        <v>9</v>
      </c>
      <c r="F2189" s="12">
        <v>30900</v>
      </c>
      <c r="G2189" s="12">
        <v>30900</v>
      </c>
      <c r="H2189" s="11" t="str">
        <f t="shared" si="72"/>
        <v>平成4年12月5日</v>
      </c>
      <c r="I2189" s="22">
        <f t="shared" si="71"/>
        <v>33943</v>
      </c>
      <c r="J2189" s="1" t="str">
        <f>"00748123"</f>
        <v>00748123</v>
      </c>
      <c r="K2189" s="1" t="str">
        <f>"５４７　　　　　　　　　　　　　　　　　"</f>
        <v>５４７　　　　　　　　　　　　　　　　　</v>
      </c>
      <c r="L2189" s="1"/>
    </row>
    <row r="2190" spans="1:12" ht="18" customHeight="1" x14ac:dyDescent="0.15">
      <c r="A2190" s="1">
        <v>5445</v>
      </c>
      <c r="B2190" s="11" t="s">
        <v>536</v>
      </c>
      <c r="C2190" s="11" t="s">
        <v>565</v>
      </c>
      <c r="D2190" s="11">
        <v>1</v>
      </c>
      <c r="E2190" s="11" t="s">
        <v>9</v>
      </c>
      <c r="F2190" s="12">
        <v>30900</v>
      </c>
      <c r="G2190" s="12">
        <v>30900</v>
      </c>
      <c r="H2190" s="11" t="str">
        <f t="shared" si="72"/>
        <v>平成4年12月5日</v>
      </c>
      <c r="I2190" s="22">
        <f t="shared" si="71"/>
        <v>33943</v>
      </c>
      <c r="J2190" s="1" t="str">
        <f>"00748125"</f>
        <v>00748125</v>
      </c>
      <c r="K2190" s="1" t="str">
        <f>"５４８　　　　　　　　　　　　　　　　　"</f>
        <v>５４８　　　　　　　　　　　　　　　　　</v>
      </c>
      <c r="L2190" s="1"/>
    </row>
    <row r="2191" spans="1:12" ht="18" customHeight="1" x14ac:dyDescent="0.15">
      <c r="A2191" s="1">
        <v>5446</v>
      </c>
      <c r="B2191" s="11" t="s">
        <v>536</v>
      </c>
      <c r="C2191" s="11" t="s">
        <v>565</v>
      </c>
      <c r="D2191" s="11">
        <v>1</v>
      </c>
      <c r="E2191" s="11" t="s">
        <v>9</v>
      </c>
      <c r="F2191" s="12">
        <v>30900</v>
      </c>
      <c r="G2191" s="12">
        <v>30900</v>
      </c>
      <c r="H2191" s="11" t="str">
        <f t="shared" si="72"/>
        <v>平成4年12月5日</v>
      </c>
      <c r="I2191" s="22">
        <f t="shared" si="71"/>
        <v>33943</v>
      </c>
      <c r="J2191" s="1" t="str">
        <f>"00748127"</f>
        <v>00748127</v>
      </c>
      <c r="K2191" s="1" t="str">
        <f>"５４９　　　　　　　　　　　　　　　　　"</f>
        <v>５４９　　　　　　　　　　　　　　　　　</v>
      </c>
      <c r="L2191" s="1"/>
    </row>
    <row r="2192" spans="1:12" ht="18" customHeight="1" x14ac:dyDescent="0.15">
      <c r="A2192" s="1">
        <v>5447</v>
      </c>
      <c r="B2192" s="11" t="s">
        <v>536</v>
      </c>
      <c r="C2192" s="11" t="s">
        <v>565</v>
      </c>
      <c r="D2192" s="11">
        <v>1</v>
      </c>
      <c r="E2192" s="11" t="s">
        <v>9</v>
      </c>
      <c r="F2192" s="12">
        <v>30900</v>
      </c>
      <c r="G2192" s="12">
        <v>30900</v>
      </c>
      <c r="H2192" s="11" t="str">
        <f t="shared" si="72"/>
        <v>平成4年12月5日</v>
      </c>
      <c r="I2192" s="22">
        <f t="shared" si="71"/>
        <v>33943</v>
      </c>
      <c r="J2192" s="1" t="str">
        <f>"00748129"</f>
        <v>00748129</v>
      </c>
      <c r="K2192" s="1" t="str">
        <f>"５５０　　　　　　　　　　　　　　　　　"</f>
        <v>５５０　　　　　　　　　　　　　　　　　</v>
      </c>
      <c r="L2192" s="1"/>
    </row>
    <row r="2193" spans="1:12" ht="18" customHeight="1" x14ac:dyDescent="0.15">
      <c r="A2193" s="1">
        <v>5448</v>
      </c>
      <c r="B2193" s="11" t="s">
        <v>536</v>
      </c>
      <c r="C2193" s="11" t="s">
        <v>565</v>
      </c>
      <c r="D2193" s="11">
        <v>1</v>
      </c>
      <c r="E2193" s="11" t="s">
        <v>9</v>
      </c>
      <c r="F2193" s="12">
        <v>30900</v>
      </c>
      <c r="G2193" s="12">
        <v>30900</v>
      </c>
      <c r="H2193" s="11" t="str">
        <f t="shared" si="72"/>
        <v>平成4年12月5日</v>
      </c>
      <c r="I2193" s="22">
        <f t="shared" si="71"/>
        <v>33943</v>
      </c>
      <c r="J2193" s="1" t="str">
        <f>"00748131"</f>
        <v>00748131</v>
      </c>
      <c r="K2193" s="1" t="str">
        <f>"５５１　　　　　　　　　　　　　　　　　"</f>
        <v>５５１　　　　　　　　　　　　　　　　　</v>
      </c>
      <c r="L2193" s="1"/>
    </row>
    <row r="2194" spans="1:12" ht="18" customHeight="1" x14ac:dyDescent="0.15">
      <c r="A2194" s="1">
        <v>5449</v>
      </c>
      <c r="B2194" s="11" t="s">
        <v>536</v>
      </c>
      <c r="C2194" s="11" t="s">
        <v>565</v>
      </c>
      <c r="D2194" s="11">
        <v>1</v>
      </c>
      <c r="E2194" s="11" t="s">
        <v>9</v>
      </c>
      <c r="F2194" s="12">
        <v>30900</v>
      </c>
      <c r="G2194" s="12">
        <v>30900</v>
      </c>
      <c r="H2194" s="11" t="str">
        <f t="shared" si="72"/>
        <v>平成4年12月5日</v>
      </c>
      <c r="I2194" s="22">
        <f t="shared" ref="I2194:I2257" si="73">DATEVALUE(H2194)</f>
        <v>33943</v>
      </c>
      <c r="J2194" s="1" t="str">
        <f>"00748133"</f>
        <v>00748133</v>
      </c>
      <c r="K2194" s="1" t="str">
        <f>"５５２　　　　　　　　　　　　　　　　　"</f>
        <v>５５２　　　　　　　　　　　　　　　　　</v>
      </c>
      <c r="L2194" s="1"/>
    </row>
    <row r="2195" spans="1:12" ht="18" customHeight="1" x14ac:dyDescent="0.15">
      <c r="A2195" s="1">
        <v>5450</v>
      </c>
      <c r="B2195" s="11" t="s">
        <v>536</v>
      </c>
      <c r="C2195" s="11" t="s">
        <v>565</v>
      </c>
      <c r="D2195" s="11">
        <v>1</v>
      </c>
      <c r="E2195" s="11" t="s">
        <v>9</v>
      </c>
      <c r="F2195" s="12">
        <v>30900</v>
      </c>
      <c r="G2195" s="12">
        <v>30900</v>
      </c>
      <c r="H2195" s="11" t="str">
        <f t="shared" si="72"/>
        <v>平成4年12月5日</v>
      </c>
      <c r="I2195" s="22">
        <f t="shared" si="73"/>
        <v>33943</v>
      </c>
      <c r="J2195" s="1" t="str">
        <f>"00748135"</f>
        <v>00748135</v>
      </c>
      <c r="K2195" s="1" t="str">
        <f>"５５３　　　　　　　　　　　　　　　　　"</f>
        <v>５５３　　　　　　　　　　　　　　　　　</v>
      </c>
      <c r="L2195" s="1"/>
    </row>
    <row r="2196" spans="1:12" ht="18" customHeight="1" x14ac:dyDescent="0.15">
      <c r="A2196" s="1">
        <v>5451</v>
      </c>
      <c r="B2196" s="11" t="s">
        <v>536</v>
      </c>
      <c r="C2196" s="11" t="s">
        <v>565</v>
      </c>
      <c r="D2196" s="11">
        <v>1</v>
      </c>
      <c r="E2196" s="11" t="s">
        <v>9</v>
      </c>
      <c r="F2196" s="12">
        <v>30900</v>
      </c>
      <c r="G2196" s="12">
        <v>30900</v>
      </c>
      <c r="H2196" s="11" t="str">
        <f t="shared" si="72"/>
        <v>平成4年12月5日</v>
      </c>
      <c r="I2196" s="22">
        <f t="shared" si="73"/>
        <v>33943</v>
      </c>
      <c r="J2196" s="1" t="str">
        <f>"00748137"</f>
        <v>00748137</v>
      </c>
      <c r="K2196" s="1" t="str">
        <f>"５５４　　　　　　　　　　　　　　　　　"</f>
        <v>５５４　　　　　　　　　　　　　　　　　</v>
      </c>
      <c r="L2196" s="1"/>
    </row>
    <row r="2197" spans="1:12" ht="18" customHeight="1" x14ac:dyDescent="0.15">
      <c r="A2197" s="1">
        <v>5452</v>
      </c>
      <c r="B2197" s="11" t="s">
        <v>536</v>
      </c>
      <c r="C2197" s="11" t="s">
        <v>565</v>
      </c>
      <c r="D2197" s="11">
        <v>1</v>
      </c>
      <c r="E2197" s="11" t="s">
        <v>9</v>
      </c>
      <c r="F2197" s="12">
        <v>30900</v>
      </c>
      <c r="G2197" s="12">
        <v>30900</v>
      </c>
      <c r="H2197" s="11" t="str">
        <f t="shared" si="72"/>
        <v>平成4年12月5日</v>
      </c>
      <c r="I2197" s="22">
        <f t="shared" si="73"/>
        <v>33943</v>
      </c>
      <c r="J2197" s="1" t="str">
        <f>"00748139"</f>
        <v>00748139</v>
      </c>
      <c r="K2197" s="1" t="str">
        <f>"５５５　　　　　　　　　　　　　　　　　"</f>
        <v>５５５　　　　　　　　　　　　　　　　　</v>
      </c>
      <c r="L2197" s="1"/>
    </row>
    <row r="2198" spans="1:12" ht="18" customHeight="1" x14ac:dyDescent="0.15">
      <c r="A2198" s="1">
        <v>5453</v>
      </c>
      <c r="B2198" s="11" t="s">
        <v>536</v>
      </c>
      <c r="C2198" s="11" t="s">
        <v>565</v>
      </c>
      <c r="D2198" s="11">
        <v>1</v>
      </c>
      <c r="E2198" s="11" t="s">
        <v>9</v>
      </c>
      <c r="F2198" s="12">
        <v>30900</v>
      </c>
      <c r="G2198" s="12">
        <v>30900</v>
      </c>
      <c r="H2198" s="11" t="str">
        <f t="shared" si="72"/>
        <v>平成4年12月5日</v>
      </c>
      <c r="I2198" s="22">
        <f t="shared" si="73"/>
        <v>33943</v>
      </c>
      <c r="J2198" s="1" t="str">
        <f>"00748141"</f>
        <v>00748141</v>
      </c>
      <c r="K2198" s="1" t="str">
        <f>"５５６　　　　　　　　　　　　　　　　　"</f>
        <v>５５６　　　　　　　　　　　　　　　　　</v>
      </c>
      <c r="L2198" s="1"/>
    </row>
    <row r="2199" spans="1:12" ht="18" customHeight="1" x14ac:dyDescent="0.15">
      <c r="A2199" s="1">
        <v>5454</v>
      </c>
      <c r="B2199" s="11" t="s">
        <v>536</v>
      </c>
      <c r="C2199" s="11" t="s">
        <v>565</v>
      </c>
      <c r="D2199" s="11">
        <v>1</v>
      </c>
      <c r="E2199" s="11" t="s">
        <v>9</v>
      </c>
      <c r="F2199" s="12">
        <v>30900</v>
      </c>
      <c r="G2199" s="12">
        <v>30900</v>
      </c>
      <c r="H2199" s="11" t="str">
        <f t="shared" si="72"/>
        <v>平成4年12月5日</v>
      </c>
      <c r="I2199" s="22">
        <f t="shared" si="73"/>
        <v>33943</v>
      </c>
      <c r="J2199" s="1" t="str">
        <f>"00748143"</f>
        <v>00748143</v>
      </c>
      <c r="K2199" s="1" t="str">
        <f>"５５７　　　　　　　　　　　　　　　　　"</f>
        <v>５５７　　　　　　　　　　　　　　　　　</v>
      </c>
      <c r="L2199" s="1"/>
    </row>
    <row r="2200" spans="1:12" ht="18" customHeight="1" x14ac:dyDescent="0.15">
      <c r="A2200" s="1">
        <v>5455</v>
      </c>
      <c r="B2200" s="11" t="s">
        <v>536</v>
      </c>
      <c r="C2200" s="11" t="s">
        <v>565</v>
      </c>
      <c r="D2200" s="11">
        <v>1</v>
      </c>
      <c r="E2200" s="11" t="s">
        <v>9</v>
      </c>
      <c r="F2200" s="12">
        <v>30900</v>
      </c>
      <c r="G2200" s="12">
        <v>30900</v>
      </c>
      <c r="H2200" s="11" t="str">
        <f t="shared" si="72"/>
        <v>平成4年12月5日</v>
      </c>
      <c r="I2200" s="22">
        <f t="shared" si="73"/>
        <v>33943</v>
      </c>
      <c r="J2200" s="1" t="str">
        <f>"00748145"</f>
        <v>00748145</v>
      </c>
      <c r="K2200" s="1" t="str">
        <f>"５５８　　　　　　　　　　　　　　　　　"</f>
        <v>５５８　　　　　　　　　　　　　　　　　</v>
      </c>
      <c r="L2200" s="1"/>
    </row>
    <row r="2201" spans="1:12" ht="18" customHeight="1" x14ac:dyDescent="0.15">
      <c r="A2201" s="1">
        <v>5456</v>
      </c>
      <c r="B2201" s="11" t="s">
        <v>536</v>
      </c>
      <c r="C2201" s="11" t="s">
        <v>565</v>
      </c>
      <c r="D2201" s="11">
        <v>1</v>
      </c>
      <c r="E2201" s="11" t="s">
        <v>9</v>
      </c>
      <c r="F2201" s="12">
        <v>30900</v>
      </c>
      <c r="G2201" s="12">
        <v>30900</v>
      </c>
      <c r="H2201" s="11" t="str">
        <f t="shared" si="72"/>
        <v>平成4年12月5日</v>
      </c>
      <c r="I2201" s="22">
        <f t="shared" si="73"/>
        <v>33943</v>
      </c>
      <c r="J2201" s="1" t="str">
        <f>"00748147"</f>
        <v>00748147</v>
      </c>
      <c r="K2201" s="1" t="str">
        <f>"５５９　　　　　　　　　　　　　　　　　"</f>
        <v>５５９　　　　　　　　　　　　　　　　　</v>
      </c>
      <c r="L2201" s="1"/>
    </row>
    <row r="2202" spans="1:12" ht="18" customHeight="1" x14ac:dyDescent="0.15">
      <c r="A2202" s="1">
        <v>5457</v>
      </c>
      <c r="B2202" s="11" t="s">
        <v>536</v>
      </c>
      <c r="C2202" s="11" t="s">
        <v>565</v>
      </c>
      <c r="D2202" s="11">
        <v>1</v>
      </c>
      <c r="E2202" s="11" t="s">
        <v>9</v>
      </c>
      <c r="F2202" s="12">
        <v>30900</v>
      </c>
      <c r="G2202" s="12">
        <v>30900</v>
      </c>
      <c r="H2202" s="11" t="str">
        <f t="shared" si="72"/>
        <v>平成4年12月5日</v>
      </c>
      <c r="I2202" s="22">
        <f t="shared" si="73"/>
        <v>33943</v>
      </c>
      <c r="J2202" s="1" t="str">
        <f>"00748149"</f>
        <v>00748149</v>
      </c>
      <c r="K2202" s="1" t="str">
        <f>"５６０　　　　　　　　　　　　　　　　　"</f>
        <v>５６０　　　　　　　　　　　　　　　　　</v>
      </c>
      <c r="L2202" s="1"/>
    </row>
    <row r="2203" spans="1:12" ht="18" customHeight="1" x14ac:dyDescent="0.15">
      <c r="A2203" s="1">
        <v>5458</v>
      </c>
      <c r="B2203" s="11" t="s">
        <v>536</v>
      </c>
      <c r="C2203" s="11" t="s">
        <v>565</v>
      </c>
      <c r="D2203" s="11">
        <v>1</v>
      </c>
      <c r="E2203" s="11" t="s">
        <v>9</v>
      </c>
      <c r="F2203" s="12">
        <v>30900</v>
      </c>
      <c r="G2203" s="12">
        <v>30900</v>
      </c>
      <c r="H2203" s="11" t="str">
        <f t="shared" si="72"/>
        <v>平成4年12月5日</v>
      </c>
      <c r="I2203" s="22">
        <f t="shared" si="73"/>
        <v>33943</v>
      </c>
      <c r="J2203" s="1" t="str">
        <f>"00748151"</f>
        <v>00748151</v>
      </c>
      <c r="K2203" s="1" t="str">
        <f>"５６１　　　　　　　　　　　　　　　　　"</f>
        <v>５６１　　　　　　　　　　　　　　　　　</v>
      </c>
      <c r="L2203" s="1"/>
    </row>
    <row r="2204" spans="1:12" ht="18" customHeight="1" x14ac:dyDescent="0.15">
      <c r="A2204" s="1">
        <v>5459</v>
      </c>
      <c r="B2204" s="11" t="s">
        <v>536</v>
      </c>
      <c r="C2204" s="11" t="s">
        <v>565</v>
      </c>
      <c r="D2204" s="11">
        <v>1</v>
      </c>
      <c r="E2204" s="11" t="s">
        <v>9</v>
      </c>
      <c r="F2204" s="12">
        <v>30900</v>
      </c>
      <c r="G2204" s="12">
        <v>30900</v>
      </c>
      <c r="H2204" s="11" t="str">
        <f t="shared" si="72"/>
        <v>平成4年12月5日</v>
      </c>
      <c r="I2204" s="22">
        <f t="shared" si="73"/>
        <v>33943</v>
      </c>
      <c r="J2204" s="1" t="str">
        <f>"00748153"</f>
        <v>00748153</v>
      </c>
      <c r="K2204" s="1" t="str">
        <f>"５６２　　　　　　　　　　　　　　　　　"</f>
        <v>５６２　　　　　　　　　　　　　　　　　</v>
      </c>
      <c r="L2204" s="1"/>
    </row>
    <row r="2205" spans="1:12" ht="18" customHeight="1" x14ac:dyDescent="0.15">
      <c r="A2205" s="1">
        <v>5460</v>
      </c>
      <c r="B2205" s="11" t="s">
        <v>536</v>
      </c>
      <c r="C2205" s="11" t="s">
        <v>565</v>
      </c>
      <c r="D2205" s="11">
        <v>1</v>
      </c>
      <c r="E2205" s="11" t="s">
        <v>9</v>
      </c>
      <c r="F2205" s="12">
        <v>30900</v>
      </c>
      <c r="G2205" s="12">
        <v>30900</v>
      </c>
      <c r="H2205" s="11" t="str">
        <f t="shared" si="72"/>
        <v>平成4年12月5日</v>
      </c>
      <c r="I2205" s="22">
        <f t="shared" si="73"/>
        <v>33943</v>
      </c>
      <c r="J2205" s="1" t="str">
        <f>"00748155"</f>
        <v>00748155</v>
      </c>
      <c r="K2205" s="1" t="str">
        <f>"５６３　　　　　　　　　　　　　　　　　"</f>
        <v>５６３　　　　　　　　　　　　　　　　　</v>
      </c>
      <c r="L2205" s="1"/>
    </row>
    <row r="2206" spans="1:12" ht="18" customHeight="1" x14ac:dyDescent="0.15">
      <c r="A2206" s="1">
        <v>5461</v>
      </c>
      <c r="B2206" s="11" t="s">
        <v>536</v>
      </c>
      <c r="C2206" s="11" t="s">
        <v>565</v>
      </c>
      <c r="D2206" s="11">
        <v>1</v>
      </c>
      <c r="E2206" s="11" t="s">
        <v>9</v>
      </c>
      <c r="F2206" s="12">
        <v>30900</v>
      </c>
      <c r="G2206" s="12">
        <v>30900</v>
      </c>
      <c r="H2206" s="11" t="str">
        <f t="shared" si="72"/>
        <v>平成4年12月5日</v>
      </c>
      <c r="I2206" s="22">
        <f t="shared" si="73"/>
        <v>33943</v>
      </c>
      <c r="J2206" s="1" t="str">
        <f>"00748157"</f>
        <v>00748157</v>
      </c>
      <c r="K2206" s="1" t="str">
        <f>"５６４　　　　　　　　　　　　　　　　　"</f>
        <v>５６４　　　　　　　　　　　　　　　　　</v>
      </c>
      <c r="L2206" s="1"/>
    </row>
    <row r="2207" spans="1:12" ht="18" customHeight="1" x14ac:dyDescent="0.15">
      <c r="A2207" s="1">
        <v>5462</v>
      </c>
      <c r="B2207" s="11" t="s">
        <v>536</v>
      </c>
      <c r="C2207" s="11" t="s">
        <v>565</v>
      </c>
      <c r="D2207" s="11">
        <v>1</v>
      </c>
      <c r="E2207" s="11" t="s">
        <v>9</v>
      </c>
      <c r="F2207" s="12">
        <v>30900</v>
      </c>
      <c r="G2207" s="12">
        <v>30900</v>
      </c>
      <c r="H2207" s="11" t="str">
        <f t="shared" si="72"/>
        <v>平成4年12月5日</v>
      </c>
      <c r="I2207" s="22">
        <f t="shared" si="73"/>
        <v>33943</v>
      </c>
      <c r="J2207" s="1" t="str">
        <f>"00748159"</f>
        <v>00748159</v>
      </c>
      <c r="K2207" s="1" t="str">
        <f>"５６５　　　　　　　　　　　　　　　　　"</f>
        <v>５６５　　　　　　　　　　　　　　　　　</v>
      </c>
      <c r="L2207" s="1"/>
    </row>
    <row r="2208" spans="1:12" ht="18" customHeight="1" x14ac:dyDescent="0.15">
      <c r="A2208" s="1">
        <v>5463</v>
      </c>
      <c r="B2208" s="11" t="s">
        <v>536</v>
      </c>
      <c r="C2208" s="11" t="s">
        <v>565</v>
      </c>
      <c r="D2208" s="11">
        <v>1</v>
      </c>
      <c r="E2208" s="11" t="s">
        <v>9</v>
      </c>
      <c r="F2208" s="12">
        <v>30900</v>
      </c>
      <c r="G2208" s="12">
        <v>30900</v>
      </c>
      <c r="H2208" s="11" t="str">
        <f t="shared" si="72"/>
        <v>平成4年12月5日</v>
      </c>
      <c r="I2208" s="22">
        <f t="shared" si="73"/>
        <v>33943</v>
      </c>
      <c r="J2208" s="1" t="str">
        <f>"00748161"</f>
        <v>00748161</v>
      </c>
      <c r="K2208" s="1" t="str">
        <f>"５６６　　　　　　　　　　　　　　　　　"</f>
        <v>５６６　　　　　　　　　　　　　　　　　</v>
      </c>
      <c r="L2208" s="1"/>
    </row>
    <row r="2209" spans="1:12" ht="18" customHeight="1" x14ac:dyDescent="0.15">
      <c r="A2209" s="1">
        <v>5464</v>
      </c>
      <c r="B2209" s="11" t="s">
        <v>536</v>
      </c>
      <c r="C2209" s="11" t="s">
        <v>565</v>
      </c>
      <c r="D2209" s="11">
        <v>1</v>
      </c>
      <c r="E2209" s="11" t="s">
        <v>9</v>
      </c>
      <c r="F2209" s="12">
        <v>30900</v>
      </c>
      <c r="G2209" s="12">
        <v>30900</v>
      </c>
      <c r="H2209" s="11" t="str">
        <f t="shared" si="72"/>
        <v>平成4年12月5日</v>
      </c>
      <c r="I2209" s="22">
        <f t="shared" si="73"/>
        <v>33943</v>
      </c>
      <c r="J2209" s="1" t="str">
        <f>"00748163"</f>
        <v>00748163</v>
      </c>
      <c r="K2209" s="1" t="str">
        <f>"５６７　　　　　　　　　　　　　　　　　"</f>
        <v>５６７　　　　　　　　　　　　　　　　　</v>
      </c>
      <c r="L2209" s="1"/>
    </row>
    <row r="2210" spans="1:12" ht="18" customHeight="1" x14ac:dyDescent="0.15">
      <c r="A2210" s="1">
        <v>5465</v>
      </c>
      <c r="B2210" s="11" t="s">
        <v>536</v>
      </c>
      <c r="C2210" s="11" t="s">
        <v>565</v>
      </c>
      <c r="D2210" s="11">
        <v>1</v>
      </c>
      <c r="E2210" s="11" t="s">
        <v>9</v>
      </c>
      <c r="F2210" s="12">
        <v>30900</v>
      </c>
      <c r="G2210" s="12">
        <v>30900</v>
      </c>
      <c r="H2210" s="11" t="str">
        <f t="shared" si="72"/>
        <v>平成4年12月5日</v>
      </c>
      <c r="I2210" s="22">
        <f t="shared" si="73"/>
        <v>33943</v>
      </c>
      <c r="J2210" s="1" t="str">
        <f>"00748165"</f>
        <v>00748165</v>
      </c>
      <c r="K2210" s="1" t="str">
        <f>"５６８　　　　　　　　　　　　　　　　　"</f>
        <v>５６８　　　　　　　　　　　　　　　　　</v>
      </c>
      <c r="L2210" s="1"/>
    </row>
    <row r="2211" spans="1:12" ht="18" customHeight="1" x14ac:dyDescent="0.15">
      <c r="A2211" s="1">
        <v>5466</v>
      </c>
      <c r="B2211" s="11" t="s">
        <v>536</v>
      </c>
      <c r="C2211" s="11" t="s">
        <v>565</v>
      </c>
      <c r="D2211" s="11">
        <v>1</v>
      </c>
      <c r="E2211" s="11" t="s">
        <v>9</v>
      </c>
      <c r="F2211" s="12">
        <v>30900</v>
      </c>
      <c r="G2211" s="12">
        <v>30900</v>
      </c>
      <c r="H2211" s="11" t="str">
        <f t="shared" si="72"/>
        <v>平成4年12月5日</v>
      </c>
      <c r="I2211" s="22">
        <f t="shared" si="73"/>
        <v>33943</v>
      </c>
      <c r="J2211" s="1" t="str">
        <f>"00748167"</f>
        <v>00748167</v>
      </c>
      <c r="K2211" s="1" t="str">
        <f>"５６９　　　　　　　　　　　　　　　　　"</f>
        <v>５６９　　　　　　　　　　　　　　　　　</v>
      </c>
      <c r="L2211" s="1"/>
    </row>
    <row r="2212" spans="1:12" ht="18" customHeight="1" x14ac:dyDescent="0.15">
      <c r="A2212" s="1">
        <v>5467</v>
      </c>
      <c r="B2212" s="11" t="s">
        <v>536</v>
      </c>
      <c r="C2212" s="11" t="s">
        <v>565</v>
      </c>
      <c r="D2212" s="11">
        <v>1</v>
      </c>
      <c r="E2212" s="11" t="s">
        <v>9</v>
      </c>
      <c r="F2212" s="12">
        <v>30900</v>
      </c>
      <c r="G2212" s="12">
        <v>30900</v>
      </c>
      <c r="H2212" s="11" t="str">
        <f t="shared" si="72"/>
        <v>平成4年12月5日</v>
      </c>
      <c r="I2212" s="22">
        <f t="shared" si="73"/>
        <v>33943</v>
      </c>
      <c r="J2212" s="1" t="str">
        <f>"00748169"</f>
        <v>00748169</v>
      </c>
      <c r="K2212" s="1" t="str">
        <f>"５７０　　　　　　　　　　　　　　　　　"</f>
        <v>５７０　　　　　　　　　　　　　　　　　</v>
      </c>
      <c r="L2212" s="1"/>
    </row>
    <row r="2213" spans="1:12" ht="18" customHeight="1" x14ac:dyDescent="0.15">
      <c r="A2213" s="1">
        <v>5468</v>
      </c>
      <c r="B2213" s="11" t="s">
        <v>536</v>
      </c>
      <c r="C2213" s="11" t="s">
        <v>565</v>
      </c>
      <c r="D2213" s="11">
        <v>1</v>
      </c>
      <c r="E2213" s="11" t="s">
        <v>9</v>
      </c>
      <c r="F2213" s="12">
        <v>30900</v>
      </c>
      <c r="G2213" s="12">
        <v>30900</v>
      </c>
      <c r="H2213" s="11" t="str">
        <f t="shared" si="72"/>
        <v>平成4年12月5日</v>
      </c>
      <c r="I2213" s="22">
        <f t="shared" si="73"/>
        <v>33943</v>
      </c>
      <c r="J2213" s="1" t="str">
        <f>"00748171"</f>
        <v>00748171</v>
      </c>
      <c r="K2213" s="1" t="str">
        <f>"５７１　　　　　　　　　　　　　　　　　"</f>
        <v>５７１　　　　　　　　　　　　　　　　　</v>
      </c>
      <c r="L2213" s="1"/>
    </row>
    <row r="2214" spans="1:12" ht="18" customHeight="1" x14ac:dyDescent="0.15">
      <c r="A2214" s="1">
        <v>5469</v>
      </c>
      <c r="B2214" s="11" t="s">
        <v>536</v>
      </c>
      <c r="C2214" s="11" t="s">
        <v>565</v>
      </c>
      <c r="D2214" s="11">
        <v>1</v>
      </c>
      <c r="E2214" s="11" t="s">
        <v>9</v>
      </c>
      <c r="F2214" s="12">
        <v>30900</v>
      </c>
      <c r="G2214" s="12">
        <v>30900</v>
      </c>
      <c r="H2214" s="11" t="str">
        <f t="shared" si="72"/>
        <v>平成4年12月5日</v>
      </c>
      <c r="I2214" s="22">
        <f t="shared" si="73"/>
        <v>33943</v>
      </c>
      <c r="J2214" s="1" t="str">
        <f>"00748173"</f>
        <v>00748173</v>
      </c>
      <c r="K2214" s="1" t="str">
        <f>"５７２　　　　　　　　　　　　　　　　　"</f>
        <v>５７２　　　　　　　　　　　　　　　　　</v>
      </c>
      <c r="L2214" s="1"/>
    </row>
    <row r="2215" spans="1:12" ht="18" customHeight="1" x14ac:dyDescent="0.15">
      <c r="A2215" s="1">
        <v>5470</v>
      </c>
      <c r="B2215" s="11" t="s">
        <v>536</v>
      </c>
      <c r="C2215" s="11" t="s">
        <v>565</v>
      </c>
      <c r="D2215" s="11">
        <v>1</v>
      </c>
      <c r="E2215" s="11" t="s">
        <v>9</v>
      </c>
      <c r="F2215" s="12">
        <v>30900</v>
      </c>
      <c r="G2215" s="12">
        <v>30900</v>
      </c>
      <c r="H2215" s="11" t="str">
        <f t="shared" si="72"/>
        <v>平成4年12月5日</v>
      </c>
      <c r="I2215" s="22">
        <f t="shared" si="73"/>
        <v>33943</v>
      </c>
      <c r="J2215" s="1" t="str">
        <f>"00748175"</f>
        <v>00748175</v>
      </c>
      <c r="K2215" s="1" t="str">
        <f>"５７３　　　　　　　　　　　　　　　　　"</f>
        <v>５７３　　　　　　　　　　　　　　　　　</v>
      </c>
      <c r="L2215" s="1"/>
    </row>
    <row r="2216" spans="1:12" ht="18" customHeight="1" x14ac:dyDescent="0.15">
      <c r="A2216" s="1">
        <v>5471</v>
      </c>
      <c r="B2216" s="11" t="s">
        <v>536</v>
      </c>
      <c r="C2216" s="11" t="s">
        <v>565</v>
      </c>
      <c r="D2216" s="11">
        <v>1</v>
      </c>
      <c r="E2216" s="11" t="s">
        <v>9</v>
      </c>
      <c r="F2216" s="12">
        <v>30900</v>
      </c>
      <c r="G2216" s="12">
        <v>30900</v>
      </c>
      <c r="H2216" s="11" t="str">
        <f t="shared" si="72"/>
        <v>平成4年12月5日</v>
      </c>
      <c r="I2216" s="22">
        <f t="shared" si="73"/>
        <v>33943</v>
      </c>
      <c r="J2216" s="1" t="str">
        <f>"00748177"</f>
        <v>00748177</v>
      </c>
      <c r="K2216" s="1" t="str">
        <f>"５７４　　　　　　　　　　　　　　　　　"</f>
        <v>５７４　　　　　　　　　　　　　　　　　</v>
      </c>
      <c r="L2216" s="1"/>
    </row>
    <row r="2217" spans="1:12" ht="18" customHeight="1" x14ac:dyDescent="0.15">
      <c r="A2217" s="1">
        <v>5472</v>
      </c>
      <c r="B2217" s="11" t="s">
        <v>536</v>
      </c>
      <c r="C2217" s="11" t="s">
        <v>565</v>
      </c>
      <c r="D2217" s="11">
        <v>1</v>
      </c>
      <c r="E2217" s="11" t="s">
        <v>9</v>
      </c>
      <c r="F2217" s="12">
        <v>30900</v>
      </c>
      <c r="G2217" s="12">
        <v>30900</v>
      </c>
      <c r="H2217" s="11" t="str">
        <f t="shared" si="72"/>
        <v>平成4年12月5日</v>
      </c>
      <c r="I2217" s="22">
        <f t="shared" si="73"/>
        <v>33943</v>
      </c>
      <c r="J2217" s="1" t="str">
        <f>"00748179"</f>
        <v>00748179</v>
      </c>
      <c r="K2217" s="1" t="str">
        <f>"５７５　　　　　　　　　　　　　　　　　"</f>
        <v>５７５　　　　　　　　　　　　　　　　　</v>
      </c>
      <c r="L2217" s="1"/>
    </row>
    <row r="2218" spans="1:12" ht="18" customHeight="1" x14ac:dyDescent="0.15">
      <c r="A2218" s="1">
        <v>5473</v>
      </c>
      <c r="B2218" s="11" t="s">
        <v>536</v>
      </c>
      <c r="C2218" s="11" t="s">
        <v>565</v>
      </c>
      <c r="D2218" s="11">
        <v>1</v>
      </c>
      <c r="E2218" s="11" t="s">
        <v>9</v>
      </c>
      <c r="F2218" s="12">
        <v>30900</v>
      </c>
      <c r="G2218" s="12">
        <v>30900</v>
      </c>
      <c r="H2218" s="11" t="str">
        <f t="shared" si="72"/>
        <v>平成4年12月5日</v>
      </c>
      <c r="I2218" s="22">
        <f t="shared" si="73"/>
        <v>33943</v>
      </c>
      <c r="J2218" s="1" t="str">
        <f>"00748181"</f>
        <v>00748181</v>
      </c>
      <c r="K2218" s="1" t="str">
        <f>"５７６　　　　　　　　　　　　　　　　　"</f>
        <v>５７６　　　　　　　　　　　　　　　　　</v>
      </c>
      <c r="L2218" s="1"/>
    </row>
    <row r="2219" spans="1:12" ht="18" customHeight="1" x14ac:dyDescent="0.15">
      <c r="A2219" s="1">
        <v>5474</v>
      </c>
      <c r="B2219" s="11" t="s">
        <v>536</v>
      </c>
      <c r="C2219" s="11" t="s">
        <v>565</v>
      </c>
      <c r="D2219" s="11">
        <v>1</v>
      </c>
      <c r="E2219" s="11" t="s">
        <v>9</v>
      </c>
      <c r="F2219" s="12">
        <v>30900</v>
      </c>
      <c r="G2219" s="12">
        <v>30900</v>
      </c>
      <c r="H2219" s="11" t="str">
        <f t="shared" si="72"/>
        <v>平成4年12月5日</v>
      </c>
      <c r="I2219" s="22">
        <f t="shared" si="73"/>
        <v>33943</v>
      </c>
      <c r="J2219" s="1" t="str">
        <f>"00748183"</f>
        <v>00748183</v>
      </c>
      <c r="K2219" s="1" t="str">
        <f>"５７７　　　　　　　　　　　　　　　　　"</f>
        <v>５７７　　　　　　　　　　　　　　　　　</v>
      </c>
      <c r="L2219" s="1"/>
    </row>
    <row r="2220" spans="1:12" ht="18" customHeight="1" x14ac:dyDescent="0.15">
      <c r="A2220" s="1">
        <v>5475</v>
      </c>
      <c r="B2220" s="11" t="s">
        <v>536</v>
      </c>
      <c r="C2220" s="11" t="s">
        <v>565</v>
      </c>
      <c r="D2220" s="11">
        <v>1</v>
      </c>
      <c r="E2220" s="11" t="s">
        <v>9</v>
      </c>
      <c r="F2220" s="12">
        <v>30900</v>
      </c>
      <c r="G2220" s="12">
        <v>30900</v>
      </c>
      <c r="H2220" s="11" t="str">
        <f t="shared" si="72"/>
        <v>平成4年12月5日</v>
      </c>
      <c r="I2220" s="22">
        <f t="shared" si="73"/>
        <v>33943</v>
      </c>
      <c r="J2220" s="1" t="str">
        <f>"00748185"</f>
        <v>00748185</v>
      </c>
      <c r="K2220" s="1" t="str">
        <f>"５７８　　　　　　　　　　　　　　　　　"</f>
        <v>５７８　　　　　　　　　　　　　　　　　</v>
      </c>
      <c r="L2220" s="1"/>
    </row>
    <row r="2221" spans="1:12" ht="18" customHeight="1" x14ac:dyDescent="0.15">
      <c r="A2221" s="1">
        <v>5476</v>
      </c>
      <c r="B2221" s="11" t="s">
        <v>536</v>
      </c>
      <c r="C2221" s="11" t="s">
        <v>565</v>
      </c>
      <c r="D2221" s="11">
        <v>1</v>
      </c>
      <c r="E2221" s="11" t="s">
        <v>9</v>
      </c>
      <c r="F2221" s="12">
        <v>30900</v>
      </c>
      <c r="G2221" s="12">
        <v>30900</v>
      </c>
      <c r="H2221" s="11" t="str">
        <f t="shared" si="72"/>
        <v>平成4年12月5日</v>
      </c>
      <c r="I2221" s="22">
        <f t="shared" si="73"/>
        <v>33943</v>
      </c>
      <c r="J2221" s="1" t="str">
        <f>"00748187"</f>
        <v>00748187</v>
      </c>
      <c r="K2221" s="1" t="str">
        <f>"５７９　　　　　　　　　　　　　　　　　"</f>
        <v>５７９　　　　　　　　　　　　　　　　　</v>
      </c>
      <c r="L2221" s="1"/>
    </row>
    <row r="2222" spans="1:12" ht="18" customHeight="1" x14ac:dyDescent="0.15">
      <c r="A2222" s="1">
        <v>5477</v>
      </c>
      <c r="B2222" s="11" t="s">
        <v>536</v>
      </c>
      <c r="C2222" s="11" t="s">
        <v>565</v>
      </c>
      <c r="D2222" s="11">
        <v>1</v>
      </c>
      <c r="E2222" s="11" t="s">
        <v>9</v>
      </c>
      <c r="F2222" s="12">
        <v>30900</v>
      </c>
      <c r="G2222" s="12">
        <v>30900</v>
      </c>
      <c r="H2222" s="11" t="str">
        <f t="shared" ref="H2222:H2276" si="74">"平成4年12月5日"</f>
        <v>平成4年12月5日</v>
      </c>
      <c r="I2222" s="22">
        <f t="shared" si="73"/>
        <v>33943</v>
      </c>
      <c r="J2222" s="1" t="str">
        <f>"00748189"</f>
        <v>00748189</v>
      </c>
      <c r="K2222" s="1" t="str">
        <f>"５８０　　　　　　　　　　　　　　　　　"</f>
        <v>５８０　　　　　　　　　　　　　　　　　</v>
      </c>
      <c r="L2222" s="1"/>
    </row>
    <row r="2223" spans="1:12" ht="18" customHeight="1" x14ac:dyDescent="0.15">
      <c r="A2223" s="1">
        <v>5478</v>
      </c>
      <c r="B2223" s="11" t="s">
        <v>536</v>
      </c>
      <c r="C2223" s="11" t="s">
        <v>565</v>
      </c>
      <c r="D2223" s="11">
        <v>1</v>
      </c>
      <c r="E2223" s="11" t="s">
        <v>9</v>
      </c>
      <c r="F2223" s="12">
        <v>30900</v>
      </c>
      <c r="G2223" s="12">
        <v>30900</v>
      </c>
      <c r="H2223" s="11" t="str">
        <f t="shared" si="74"/>
        <v>平成4年12月5日</v>
      </c>
      <c r="I2223" s="22">
        <f t="shared" si="73"/>
        <v>33943</v>
      </c>
      <c r="J2223" s="1" t="str">
        <f>"00748191"</f>
        <v>00748191</v>
      </c>
      <c r="K2223" s="1" t="str">
        <f>"５８１　　　　　　　　　　　　　　　　　"</f>
        <v>５８１　　　　　　　　　　　　　　　　　</v>
      </c>
      <c r="L2223" s="1"/>
    </row>
    <row r="2224" spans="1:12" ht="18" customHeight="1" x14ac:dyDescent="0.15">
      <c r="A2224" s="1">
        <v>5479</v>
      </c>
      <c r="B2224" s="11" t="s">
        <v>536</v>
      </c>
      <c r="C2224" s="11" t="s">
        <v>565</v>
      </c>
      <c r="D2224" s="11">
        <v>1</v>
      </c>
      <c r="E2224" s="11" t="s">
        <v>9</v>
      </c>
      <c r="F2224" s="12">
        <v>30900</v>
      </c>
      <c r="G2224" s="12">
        <v>30900</v>
      </c>
      <c r="H2224" s="11" t="str">
        <f t="shared" si="74"/>
        <v>平成4年12月5日</v>
      </c>
      <c r="I2224" s="22">
        <f t="shared" si="73"/>
        <v>33943</v>
      </c>
      <c r="J2224" s="1" t="str">
        <f>"00748193"</f>
        <v>00748193</v>
      </c>
      <c r="K2224" s="1" t="str">
        <f>"５８２　　　　　　　　　　　　　　　　　"</f>
        <v>５８２　　　　　　　　　　　　　　　　　</v>
      </c>
      <c r="L2224" s="1"/>
    </row>
    <row r="2225" spans="1:12" ht="18" customHeight="1" x14ac:dyDescent="0.15">
      <c r="A2225" s="1">
        <v>5480</v>
      </c>
      <c r="B2225" s="11" t="s">
        <v>536</v>
      </c>
      <c r="C2225" s="11" t="s">
        <v>565</v>
      </c>
      <c r="D2225" s="11">
        <v>1</v>
      </c>
      <c r="E2225" s="11" t="s">
        <v>9</v>
      </c>
      <c r="F2225" s="12">
        <v>30900</v>
      </c>
      <c r="G2225" s="12">
        <v>30900</v>
      </c>
      <c r="H2225" s="11" t="str">
        <f t="shared" si="74"/>
        <v>平成4年12月5日</v>
      </c>
      <c r="I2225" s="22">
        <f t="shared" si="73"/>
        <v>33943</v>
      </c>
      <c r="J2225" s="1" t="str">
        <f>"00748195"</f>
        <v>00748195</v>
      </c>
      <c r="K2225" s="1" t="str">
        <f>"５８３　　　　　　　　　　　　　　　　　"</f>
        <v>５８３　　　　　　　　　　　　　　　　　</v>
      </c>
      <c r="L2225" s="1"/>
    </row>
    <row r="2226" spans="1:12" ht="18" customHeight="1" x14ac:dyDescent="0.15">
      <c r="A2226" s="1">
        <v>5481</v>
      </c>
      <c r="B2226" s="11" t="s">
        <v>536</v>
      </c>
      <c r="C2226" s="11" t="s">
        <v>565</v>
      </c>
      <c r="D2226" s="11">
        <v>1</v>
      </c>
      <c r="E2226" s="11" t="s">
        <v>9</v>
      </c>
      <c r="F2226" s="12">
        <v>30900</v>
      </c>
      <c r="G2226" s="12">
        <v>30900</v>
      </c>
      <c r="H2226" s="11" t="str">
        <f t="shared" si="74"/>
        <v>平成4年12月5日</v>
      </c>
      <c r="I2226" s="22">
        <f t="shared" si="73"/>
        <v>33943</v>
      </c>
      <c r="J2226" s="1" t="str">
        <f>"00748197"</f>
        <v>00748197</v>
      </c>
      <c r="K2226" s="1" t="str">
        <f>"５８４　　　　　　　　　　　　　　　　　"</f>
        <v>５８４　　　　　　　　　　　　　　　　　</v>
      </c>
      <c r="L2226" s="1"/>
    </row>
    <row r="2227" spans="1:12" ht="18" customHeight="1" x14ac:dyDescent="0.15">
      <c r="A2227" s="1">
        <v>5482</v>
      </c>
      <c r="B2227" s="11" t="s">
        <v>536</v>
      </c>
      <c r="C2227" s="11" t="s">
        <v>565</v>
      </c>
      <c r="D2227" s="11">
        <v>1</v>
      </c>
      <c r="E2227" s="11" t="s">
        <v>9</v>
      </c>
      <c r="F2227" s="12">
        <v>30900</v>
      </c>
      <c r="G2227" s="12">
        <v>30900</v>
      </c>
      <c r="H2227" s="11" t="str">
        <f t="shared" si="74"/>
        <v>平成4年12月5日</v>
      </c>
      <c r="I2227" s="22">
        <f t="shared" si="73"/>
        <v>33943</v>
      </c>
      <c r="J2227" s="1" t="str">
        <f>"00748199"</f>
        <v>00748199</v>
      </c>
      <c r="K2227" s="1" t="str">
        <f>"５８５　　　　　　　　　　　　　　　　　"</f>
        <v>５８５　　　　　　　　　　　　　　　　　</v>
      </c>
      <c r="L2227" s="1"/>
    </row>
    <row r="2228" spans="1:12" ht="18" customHeight="1" x14ac:dyDescent="0.15">
      <c r="A2228" s="1">
        <v>5483</v>
      </c>
      <c r="B2228" s="11" t="s">
        <v>536</v>
      </c>
      <c r="C2228" s="11" t="s">
        <v>565</v>
      </c>
      <c r="D2228" s="11">
        <v>1</v>
      </c>
      <c r="E2228" s="11" t="s">
        <v>9</v>
      </c>
      <c r="F2228" s="12">
        <v>30900</v>
      </c>
      <c r="G2228" s="12">
        <v>30900</v>
      </c>
      <c r="H2228" s="11" t="str">
        <f t="shared" si="74"/>
        <v>平成4年12月5日</v>
      </c>
      <c r="I2228" s="22">
        <f t="shared" si="73"/>
        <v>33943</v>
      </c>
      <c r="J2228" s="1" t="str">
        <f>"00748201"</f>
        <v>00748201</v>
      </c>
      <c r="K2228" s="1" t="str">
        <f>"５８６　　　　　　　　　　　　　　　　　"</f>
        <v>５８６　　　　　　　　　　　　　　　　　</v>
      </c>
      <c r="L2228" s="1"/>
    </row>
    <row r="2229" spans="1:12" ht="18" customHeight="1" x14ac:dyDescent="0.15">
      <c r="A2229" s="1">
        <v>5484</v>
      </c>
      <c r="B2229" s="11" t="s">
        <v>536</v>
      </c>
      <c r="C2229" s="11" t="s">
        <v>565</v>
      </c>
      <c r="D2229" s="11">
        <v>1</v>
      </c>
      <c r="E2229" s="11" t="s">
        <v>9</v>
      </c>
      <c r="F2229" s="12">
        <v>30900</v>
      </c>
      <c r="G2229" s="12">
        <v>30900</v>
      </c>
      <c r="H2229" s="11" t="str">
        <f t="shared" si="74"/>
        <v>平成4年12月5日</v>
      </c>
      <c r="I2229" s="22">
        <f t="shared" si="73"/>
        <v>33943</v>
      </c>
      <c r="J2229" s="1" t="str">
        <f>"00748203"</f>
        <v>00748203</v>
      </c>
      <c r="K2229" s="1" t="str">
        <f>"５８７　　　　　　　　　　　　　　　　　"</f>
        <v>５８７　　　　　　　　　　　　　　　　　</v>
      </c>
      <c r="L2229" s="1"/>
    </row>
    <row r="2230" spans="1:12" ht="18" customHeight="1" x14ac:dyDescent="0.15">
      <c r="A2230" s="1">
        <v>5485</v>
      </c>
      <c r="B2230" s="11" t="s">
        <v>536</v>
      </c>
      <c r="C2230" s="11" t="s">
        <v>565</v>
      </c>
      <c r="D2230" s="11">
        <v>1</v>
      </c>
      <c r="E2230" s="11" t="s">
        <v>9</v>
      </c>
      <c r="F2230" s="12">
        <v>30900</v>
      </c>
      <c r="G2230" s="12">
        <v>30900</v>
      </c>
      <c r="H2230" s="11" t="str">
        <f t="shared" si="74"/>
        <v>平成4年12月5日</v>
      </c>
      <c r="I2230" s="22">
        <f t="shared" si="73"/>
        <v>33943</v>
      </c>
      <c r="J2230" s="1" t="str">
        <f>"00748205"</f>
        <v>00748205</v>
      </c>
      <c r="K2230" s="1" t="str">
        <f>"５８８　　　　　　　　　　　　　　　　　"</f>
        <v>５８８　　　　　　　　　　　　　　　　　</v>
      </c>
      <c r="L2230" s="1"/>
    </row>
    <row r="2231" spans="1:12" ht="18" customHeight="1" x14ac:dyDescent="0.15">
      <c r="A2231" s="1">
        <v>5486</v>
      </c>
      <c r="B2231" s="11" t="s">
        <v>536</v>
      </c>
      <c r="C2231" s="11" t="s">
        <v>565</v>
      </c>
      <c r="D2231" s="11">
        <v>1</v>
      </c>
      <c r="E2231" s="11" t="s">
        <v>9</v>
      </c>
      <c r="F2231" s="12">
        <v>30900</v>
      </c>
      <c r="G2231" s="12">
        <v>30900</v>
      </c>
      <c r="H2231" s="11" t="str">
        <f t="shared" si="74"/>
        <v>平成4年12月5日</v>
      </c>
      <c r="I2231" s="22">
        <f t="shared" si="73"/>
        <v>33943</v>
      </c>
      <c r="J2231" s="1" t="str">
        <f>"00748207"</f>
        <v>00748207</v>
      </c>
      <c r="K2231" s="1" t="str">
        <f>"５８９　　　　　　　　　　　　　　　　　"</f>
        <v>５８９　　　　　　　　　　　　　　　　　</v>
      </c>
      <c r="L2231" s="1"/>
    </row>
    <row r="2232" spans="1:12" ht="18" customHeight="1" x14ac:dyDescent="0.15">
      <c r="A2232" s="1">
        <v>5487</v>
      </c>
      <c r="B2232" s="11" t="s">
        <v>536</v>
      </c>
      <c r="C2232" s="11" t="s">
        <v>565</v>
      </c>
      <c r="D2232" s="11">
        <v>1</v>
      </c>
      <c r="E2232" s="11" t="s">
        <v>9</v>
      </c>
      <c r="F2232" s="12">
        <v>30900</v>
      </c>
      <c r="G2232" s="12">
        <v>30900</v>
      </c>
      <c r="H2232" s="11" t="str">
        <f t="shared" si="74"/>
        <v>平成4年12月5日</v>
      </c>
      <c r="I2232" s="22">
        <f t="shared" si="73"/>
        <v>33943</v>
      </c>
      <c r="J2232" s="1" t="str">
        <f>"00748209"</f>
        <v>00748209</v>
      </c>
      <c r="K2232" s="1" t="str">
        <f>"５９０　　　　　　　　　　　　　　　　　"</f>
        <v>５９０　　　　　　　　　　　　　　　　　</v>
      </c>
      <c r="L2232" s="1"/>
    </row>
    <row r="2233" spans="1:12" ht="18" customHeight="1" x14ac:dyDescent="0.15">
      <c r="A2233" s="1">
        <v>5488</v>
      </c>
      <c r="B2233" s="11" t="s">
        <v>536</v>
      </c>
      <c r="C2233" s="11" t="s">
        <v>565</v>
      </c>
      <c r="D2233" s="11">
        <v>1</v>
      </c>
      <c r="E2233" s="11" t="s">
        <v>9</v>
      </c>
      <c r="F2233" s="12">
        <v>30900</v>
      </c>
      <c r="G2233" s="12">
        <v>30900</v>
      </c>
      <c r="H2233" s="11" t="str">
        <f t="shared" si="74"/>
        <v>平成4年12月5日</v>
      </c>
      <c r="I2233" s="22">
        <f t="shared" si="73"/>
        <v>33943</v>
      </c>
      <c r="J2233" s="1" t="str">
        <f>"00748211"</f>
        <v>00748211</v>
      </c>
      <c r="K2233" s="1" t="str">
        <f>"５９１　　　　　　　　　　　　　　　　　"</f>
        <v>５９１　　　　　　　　　　　　　　　　　</v>
      </c>
      <c r="L2233" s="1"/>
    </row>
    <row r="2234" spans="1:12" ht="18" customHeight="1" x14ac:dyDescent="0.15">
      <c r="A2234" s="1">
        <v>5489</v>
      </c>
      <c r="B2234" s="11" t="s">
        <v>536</v>
      </c>
      <c r="C2234" s="11" t="s">
        <v>565</v>
      </c>
      <c r="D2234" s="11">
        <v>1</v>
      </c>
      <c r="E2234" s="11" t="s">
        <v>9</v>
      </c>
      <c r="F2234" s="12">
        <v>30900</v>
      </c>
      <c r="G2234" s="12">
        <v>30900</v>
      </c>
      <c r="H2234" s="11" t="str">
        <f t="shared" si="74"/>
        <v>平成4年12月5日</v>
      </c>
      <c r="I2234" s="22">
        <f t="shared" si="73"/>
        <v>33943</v>
      </c>
      <c r="J2234" s="1" t="str">
        <f>"00748213"</f>
        <v>00748213</v>
      </c>
      <c r="K2234" s="1" t="str">
        <f>"５９２　　　　　　　　　　　　　　　　　"</f>
        <v>５９２　　　　　　　　　　　　　　　　　</v>
      </c>
      <c r="L2234" s="1"/>
    </row>
    <row r="2235" spans="1:12" ht="18" customHeight="1" x14ac:dyDescent="0.15">
      <c r="A2235" s="1">
        <v>5490</v>
      </c>
      <c r="B2235" s="11" t="s">
        <v>536</v>
      </c>
      <c r="C2235" s="11" t="s">
        <v>565</v>
      </c>
      <c r="D2235" s="11">
        <v>1</v>
      </c>
      <c r="E2235" s="11" t="s">
        <v>9</v>
      </c>
      <c r="F2235" s="12">
        <v>30900</v>
      </c>
      <c r="G2235" s="12">
        <v>30900</v>
      </c>
      <c r="H2235" s="11" t="str">
        <f t="shared" si="74"/>
        <v>平成4年12月5日</v>
      </c>
      <c r="I2235" s="22">
        <f t="shared" si="73"/>
        <v>33943</v>
      </c>
      <c r="J2235" s="1" t="str">
        <f>"00748215"</f>
        <v>00748215</v>
      </c>
      <c r="K2235" s="1" t="str">
        <f>"５９３　　　　　　　　　　　　　　　　　"</f>
        <v>５９３　　　　　　　　　　　　　　　　　</v>
      </c>
      <c r="L2235" s="1"/>
    </row>
    <row r="2236" spans="1:12" ht="18" customHeight="1" x14ac:dyDescent="0.15">
      <c r="A2236" s="1">
        <v>5491</v>
      </c>
      <c r="B2236" s="11" t="s">
        <v>536</v>
      </c>
      <c r="C2236" s="11" t="s">
        <v>565</v>
      </c>
      <c r="D2236" s="11">
        <v>1</v>
      </c>
      <c r="E2236" s="11" t="s">
        <v>9</v>
      </c>
      <c r="F2236" s="12">
        <v>30900</v>
      </c>
      <c r="G2236" s="12">
        <v>30900</v>
      </c>
      <c r="H2236" s="11" t="str">
        <f t="shared" si="74"/>
        <v>平成4年12月5日</v>
      </c>
      <c r="I2236" s="22">
        <f t="shared" si="73"/>
        <v>33943</v>
      </c>
      <c r="J2236" s="1" t="str">
        <f>"00748217"</f>
        <v>00748217</v>
      </c>
      <c r="K2236" s="1" t="str">
        <f>"５９４　　　　　　　　　　　　　　　　　"</f>
        <v>５９４　　　　　　　　　　　　　　　　　</v>
      </c>
      <c r="L2236" s="1"/>
    </row>
    <row r="2237" spans="1:12" ht="18" customHeight="1" x14ac:dyDescent="0.15">
      <c r="A2237" s="1">
        <v>5492</v>
      </c>
      <c r="B2237" s="11" t="s">
        <v>536</v>
      </c>
      <c r="C2237" s="11" t="s">
        <v>565</v>
      </c>
      <c r="D2237" s="11">
        <v>1</v>
      </c>
      <c r="E2237" s="11" t="s">
        <v>9</v>
      </c>
      <c r="F2237" s="12">
        <v>30900</v>
      </c>
      <c r="G2237" s="12">
        <v>30900</v>
      </c>
      <c r="H2237" s="11" t="str">
        <f t="shared" si="74"/>
        <v>平成4年12月5日</v>
      </c>
      <c r="I2237" s="22">
        <f t="shared" si="73"/>
        <v>33943</v>
      </c>
      <c r="J2237" s="1" t="str">
        <f>"00748219"</f>
        <v>00748219</v>
      </c>
      <c r="K2237" s="1" t="str">
        <f>"５９５　　　　　　　　　　　　　　　　　"</f>
        <v>５９５　　　　　　　　　　　　　　　　　</v>
      </c>
      <c r="L2237" s="1"/>
    </row>
    <row r="2238" spans="1:12" ht="18" customHeight="1" x14ac:dyDescent="0.15">
      <c r="A2238" s="1">
        <v>5493</v>
      </c>
      <c r="B2238" s="11" t="s">
        <v>536</v>
      </c>
      <c r="C2238" s="11" t="s">
        <v>565</v>
      </c>
      <c r="D2238" s="11">
        <v>1</v>
      </c>
      <c r="E2238" s="11" t="s">
        <v>9</v>
      </c>
      <c r="F2238" s="12">
        <v>30900</v>
      </c>
      <c r="G2238" s="12">
        <v>30900</v>
      </c>
      <c r="H2238" s="11" t="str">
        <f t="shared" si="74"/>
        <v>平成4年12月5日</v>
      </c>
      <c r="I2238" s="22">
        <f t="shared" si="73"/>
        <v>33943</v>
      </c>
      <c r="J2238" s="1" t="str">
        <f>"00748221"</f>
        <v>00748221</v>
      </c>
      <c r="K2238" s="1" t="str">
        <f>"５９６　　　　　　　　　　　　　　　　　"</f>
        <v>５９６　　　　　　　　　　　　　　　　　</v>
      </c>
      <c r="L2238" s="1"/>
    </row>
    <row r="2239" spans="1:12" ht="18" customHeight="1" x14ac:dyDescent="0.15">
      <c r="A2239" s="1">
        <v>5494</v>
      </c>
      <c r="B2239" s="11" t="s">
        <v>536</v>
      </c>
      <c r="C2239" s="11" t="s">
        <v>566</v>
      </c>
      <c r="D2239" s="11">
        <v>1</v>
      </c>
      <c r="E2239" s="11" t="s">
        <v>9</v>
      </c>
      <c r="F2239" s="12">
        <v>42900</v>
      </c>
      <c r="G2239" s="12">
        <v>42900</v>
      </c>
      <c r="H2239" s="11" t="str">
        <f t="shared" si="74"/>
        <v>平成4年12月5日</v>
      </c>
      <c r="I2239" s="22">
        <f t="shared" si="73"/>
        <v>33943</v>
      </c>
      <c r="J2239" s="1" t="str">
        <f>"00748223"</f>
        <v>00748223</v>
      </c>
      <c r="K2239" s="1" t="str">
        <f>"５９７　　　　　　　　　　　　　　　　　"</f>
        <v>５９７　　　　　　　　　　　　　　　　　</v>
      </c>
      <c r="L2239" s="1"/>
    </row>
    <row r="2240" spans="1:12" ht="18" customHeight="1" x14ac:dyDescent="0.15">
      <c r="A2240" s="1">
        <v>5495</v>
      </c>
      <c r="B2240" s="11" t="s">
        <v>536</v>
      </c>
      <c r="C2240" s="11" t="s">
        <v>566</v>
      </c>
      <c r="D2240" s="11">
        <v>1</v>
      </c>
      <c r="E2240" s="11" t="s">
        <v>9</v>
      </c>
      <c r="F2240" s="12">
        <v>42900</v>
      </c>
      <c r="G2240" s="12">
        <v>42900</v>
      </c>
      <c r="H2240" s="11" t="str">
        <f t="shared" si="74"/>
        <v>平成4年12月5日</v>
      </c>
      <c r="I2240" s="22">
        <f t="shared" si="73"/>
        <v>33943</v>
      </c>
      <c r="J2240" s="1" t="str">
        <f>"00748225"</f>
        <v>00748225</v>
      </c>
      <c r="K2240" s="1" t="str">
        <f>"５９８　　　　　　　　　　　　　　　　　"</f>
        <v>５９８　　　　　　　　　　　　　　　　　</v>
      </c>
      <c r="L2240" s="1"/>
    </row>
    <row r="2241" spans="1:12" ht="18" customHeight="1" x14ac:dyDescent="0.15">
      <c r="A2241" s="1">
        <v>5496</v>
      </c>
      <c r="B2241" s="11" t="s">
        <v>536</v>
      </c>
      <c r="C2241" s="11" t="s">
        <v>566</v>
      </c>
      <c r="D2241" s="11">
        <v>1</v>
      </c>
      <c r="E2241" s="11" t="s">
        <v>9</v>
      </c>
      <c r="F2241" s="12">
        <v>42900</v>
      </c>
      <c r="G2241" s="12">
        <v>42900</v>
      </c>
      <c r="H2241" s="11" t="str">
        <f t="shared" si="74"/>
        <v>平成4年12月5日</v>
      </c>
      <c r="I2241" s="22">
        <f t="shared" si="73"/>
        <v>33943</v>
      </c>
      <c r="J2241" s="1" t="str">
        <f>"00748227"</f>
        <v>00748227</v>
      </c>
      <c r="K2241" s="1" t="str">
        <f>"５９９　　　　　　　　　　　　　　　　　"</f>
        <v>５９９　　　　　　　　　　　　　　　　　</v>
      </c>
      <c r="L2241" s="1"/>
    </row>
    <row r="2242" spans="1:12" ht="18" customHeight="1" x14ac:dyDescent="0.15">
      <c r="A2242" s="1">
        <v>5497</v>
      </c>
      <c r="B2242" s="11" t="s">
        <v>536</v>
      </c>
      <c r="C2242" s="11" t="s">
        <v>566</v>
      </c>
      <c r="D2242" s="11">
        <v>1</v>
      </c>
      <c r="E2242" s="11" t="s">
        <v>9</v>
      </c>
      <c r="F2242" s="12">
        <v>42900</v>
      </c>
      <c r="G2242" s="12">
        <v>42900</v>
      </c>
      <c r="H2242" s="11" t="str">
        <f t="shared" si="74"/>
        <v>平成4年12月5日</v>
      </c>
      <c r="I2242" s="22">
        <f t="shared" si="73"/>
        <v>33943</v>
      </c>
      <c r="J2242" s="1" t="str">
        <f>"00748229"</f>
        <v>00748229</v>
      </c>
      <c r="K2242" s="1" t="str">
        <f>"６００　　　　　　　　　　　　　　　　　"</f>
        <v>６００　　　　　　　　　　　　　　　　　</v>
      </c>
      <c r="L2242" s="1"/>
    </row>
    <row r="2243" spans="1:12" ht="18" customHeight="1" x14ac:dyDescent="0.15">
      <c r="A2243" s="1">
        <v>5498</v>
      </c>
      <c r="B2243" s="11" t="s">
        <v>536</v>
      </c>
      <c r="C2243" s="11" t="s">
        <v>566</v>
      </c>
      <c r="D2243" s="11">
        <v>1</v>
      </c>
      <c r="E2243" s="11" t="s">
        <v>9</v>
      </c>
      <c r="F2243" s="12">
        <v>42900</v>
      </c>
      <c r="G2243" s="12">
        <v>42900</v>
      </c>
      <c r="H2243" s="11" t="str">
        <f t="shared" si="74"/>
        <v>平成4年12月5日</v>
      </c>
      <c r="I2243" s="22">
        <f t="shared" si="73"/>
        <v>33943</v>
      </c>
      <c r="J2243" s="1" t="str">
        <f>"00748231"</f>
        <v>00748231</v>
      </c>
      <c r="K2243" s="1" t="str">
        <f>"６０１　　　　　　　　　　　　　　　　　"</f>
        <v>６０１　　　　　　　　　　　　　　　　　</v>
      </c>
      <c r="L2243" s="1"/>
    </row>
    <row r="2244" spans="1:12" ht="18" customHeight="1" x14ac:dyDescent="0.15">
      <c r="A2244" s="1">
        <v>5499</v>
      </c>
      <c r="B2244" s="11" t="s">
        <v>536</v>
      </c>
      <c r="C2244" s="11" t="s">
        <v>566</v>
      </c>
      <c r="D2244" s="11">
        <v>1</v>
      </c>
      <c r="E2244" s="11" t="s">
        <v>9</v>
      </c>
      <c r="F2244" s="12">
        <v>42900</v>
      </c>
      <c r="G2244" s="12">
        <v>42900</v>
      </c>
      <c r="H2244" s="11" t="str">
        <f t="shared" si="74"/>
        <v>平成4年12月5日</v>
      </c>
      <c r="I2244" s="22">
        <f t="shared" si="73"/>
        <v>33943</v>
      </c>
      <c r="J2244" s="1" t="str">
        <f>"00748233"</f>
        <v>00748233</v>
      </c>
      <c r="K2244" s="1" t="str">
        <f>"６０２　　　　　　　　　　　　　　　　　"</f>
        <v>６０２　　　　　　　　　　　　　　　　　</v>
      </c>
      <c r="L2244" s="1"/>
    </row>
    <row r="2245" spans="1:12" ht="18" customHeight="1" x14ac:dyDescent="0.15">
      <c r="A2245" s="1">
        <v>5500</v>
      </c>
      <c r="B2245" s="11" t="s">
        <v>536</v>
      </c>
      <c r="C2245" s="11" t="s">
        <v>566</v>
      </c>
      <c r="D2245" s="11">
        <v>1</v>
      </c>
      <c r="E2245" s="11" t="s">
        <v>9</v>
      </c>
      <c r="F2245" s="12">
        <v>42900</v>
      </c>
      <c r="G2245" s="12">
        <v>42900</v>
      </c>
      <c r="H2245" s="11" t="str">
        <f t="shared" si="74"/>
        <v>平成4年12月5日</v>
      </c>
      <c r="I2245" s="22">
        <f t="shared" si="73"/>
        <v>33943</v>
      </c>
      <c r="J2245" s="1" t="str">
        <f>"00748235"</f>
        <v>00748235</v>
      </c>
      <c r="K2245" s="1" t="str">
        <f>"６０３　　　　　　　　　　　　　　　　　"</f>
        <v>６０３　　　　　　　　　　　　　　　　　</v>
      </c>
      <c r="L2245" s="1"/>
    </row>
    <row r="2246" spans="1:12" ht="18" customHeight="1" x14ac:dyDescent="0.15">
      <c r="A2246" s="1">
        <v>5501</v>
      </c>
      <c r="B2246" s="11" t="s">
        <v>536</v>
      </c>
      <c r="C2246" s="11" t="s">
        <v>566</v>
      </c>
      <c r="D2246" s="11">
        <v>1</v>
      </c>
      <c r="E2246" s="11" t="s">
        <v>9</v>
      </c>
      <c r="F2246" s="12">
        <v>42900</v>
      </c>
      <c r="G2246" s="12">
        <v>42900</v>
      </c>
      <c r="H2246" s="11" t="str">
        <f t="shared" si="74"/>
        <v>平成4年12月5日</v>
      </c>
      <c r="I2246" s="22">
        <f t="shared" si="73"/>
        <v>33943</v>
      </c>
      <c r="J2246" s="1" t="str">
        <f>"00748237"</f>
        <v>00748237</v>
      </c>
      <c r="K2246" s="1" t="str">
        <f>"６０４　　　　　　　　　　　　　　　　　"</f>
        <v>６０４　　　　　　　　　　　　　　　　　</v>
      </c>
      <c r="L2246" s="1"/>
    </row>
    <row r="2247" spans="1:12" ht="18" customHeight="1" x14ac:dyDescent="0.15">
      <c r="A2247" s="1">
        <v>5502</v>
      </c>
      <c r="B2247" s="11" t="s">
        <v>536</v>
      </c>
      <c r="C2247" s="11" t="s">
        <v>566</v>
      </c>
      <c r="D2247" s="11">
        <v>1</v>
      </c>
      <c r="E2247" s="11" t="s">
        <v>9</v>
      </c>
      <c r="F2247" s="12">
        <v>42900</v>
      </c>
      <c r="G2247" s="12">
        <v>42900</v>
      </c>
      <c r="H2247" s="11" t="str">
        <f t="shared" si="74"/>
        <v>平成4年12月5日</v>
      </c>
      <c r="I2247" s="22">
        <f t="shared" si="73"/>
        <v>33943</v>
      </c>
      <c r="J2247" s="1" t="str">
        <f>"00748239"</f>
        <v>00748239</v>
      </c>
      <c r="K2247" s="1" t="str">
        <f>"６０５　　　　　　　　　　　　　　　　　"</f>
        <v>６０５　　　　　　　　　　　　　　　　　</v>
      </c>
      <c r="L2247" s="1"/>
    </row>
    <row r="2248" spans="1:12" ht="18" customHeight="1" x14ac:dyDescent="0.15">
      <c r="A2248" s="1">
        <v>5503</v>
      </c>
      <c r="B2248" s="11" t="s">
        <v>536</v>
      </c>
      <c r="C2248" s="11" t="s">
        <v>566</v>
      </c>
      <c r="D2248" s="11">
        <v>1</v>
      </c>
      <c r="E2248" s="11" t="s">
        <v>9</v>
      </c>
      <c r="F2248" s="12">
        <v>42900</v>
      </c>
      <c r="G2248" s="12">
        <v>42900</v>
      </c>
      <c r="H2248" s="11" t="str">
        <f t="shared" si="74"/>
        <v>平成4年12月5日</v>
      </c>
      <c r="I2248" s="22">
        <f t="shared" si="73"/>
        <v>33943</v>
      </c>
      <c r="J2248" s="1" t="str">
        <f>"00748241"</f>
        <v>00748241</v>
      </c>
      <c r="K2248" s="1" t="str">
        <f>"６０６　　　　　　　　　　　　　　　　　"</f>
        <v>６０６　　　　　　　　　　　　　　　　　</v>
      </c>
      <c r="L2248" s="1"/>
    </row>
    <row r="2249" spans="1:12" ht="18" customHeight="1" x14ac:dyDescent="0.15">
      <c r="A2249" s="1">
        <v>5504</v>
      </c>
      <c r="B2249" s="11" t="s">
        <v>536</v>
      </c>
      <c r="C2249" s="11" t="s">
        <v>566</v>
      </c>
      <c r="D2249" s="11">
        <v>1</v>
      </c>
      <c r="E2249" s="11" t="s">
        <v>9</v>
      </c>
      <c r="F2249" s="12">
        <v>42900</v>
      </c>
      <c r="G2249" s="12">
        <v>42900</v>
      </c>
      <c r="H2249" s="11" t="str">
        <f t="shared" si="74"/>
        <v>平成4年12月5日</v>
      </c>
      <c r="I2249" s="22">
        <f t="shared" si="73"/>
        <v>33943</v>
      </c>
      <c r="J2249" s="1" t="str">
        <f>"00748243"</f>
        <v>00748243</v>
      </c>
      <c r="K2249" s="1" t="str">
        <f>"６０７　　　　　　　　　　　　　　　　　"</f>
        <v>６０７　　　　　　　　　　　　　　　　　</v>
      </c>
      <c r="L2249" s="1"/>
    </row>
    <row r="2250" spans="1:12" ht="18" customHeight="1" x14ac:dyDescent="0.15">
      <c r="A2250" s="1">
        <v>5505</v>
      </c>
      <c r="B2250" s="11" t="s">
        <v>536</v>
      </c>
      <c r="C2250" s="11" t="s">
        <v>566</v>
      </c>
      <c r="D2250" s="11">
        <v>1</v>
      </c>
      <c r="E2250" s="11" t="s">
        <v>9</v>
      </c>
      <c r="F2250" s="12">
        <v>42900</v>
      </c>
      <c r="G2250" s="12">
        <v>42900</v>
      </c>
      <c r="H2250" s="11" t="str">
        <f t="shared" si="74"/>
        <v>平成4年12月5日</v>
      </c>
      <c r="I2250" s="22">
        <f t="shared" si="73"/>
        <v>33943</v>
      </c>
      <c r="J2250" s="1" t="str">
        <f>"00748245"</f>
        <v>00748245</v>
      </c>
      <c r="K2250" s="1" t="str">
        <f>"６０８　　　　　　　　　　　　　　　　　"</f>
        <v>６０８　　　　　　　　　　　　　　　　　</v>
      </c>
      <c r="L2250" s="1"/>
    </row>
    <row r="2251" spans="1:12" ht="18" customHeight="1" x14ac:dyDescent="0.15">
      <c r="A2251" s="1">
        <v>5506</v>
      </c>
      <c r="B2251" s="11" t="s">
        <v>536</v>
      </c>
      <c r="C2251" s="11" t="s">
        <v>566</v>
      </c>
      <c r="D2251" s="11">
        <v>1</v>
      </c>
      <c r="E2251" s="11" t="s">
        <v>9</v>
      </c>
      <c r="F2251" s="12">
        <v>42900</v>
      </c>
      <c r="G2251" s="12">
        <v>42900</v>
      </c>
      <c r="H2251" s="11" t="str">
        <f t="shared" si="74"/>
        <v>平成4年12月5日</v>
      </c>
      <c r="I2251" s="22">
        <f t="shared" si="73"/>
        <v>33943</v>
      </c>
      <c r="J2251" s="1" t="str">
        <f>"00748247"</f>
        <v>00748247</v>
      </c>
      <c r="K2251" s="1" t="str">
        <f>"６０９　　　　　　　　　　　　　　　　　"</f>
        <v>６０９　　　　　　　　　　　　　　　　　</v>
      </c>
      <c r="L2251" s="1"/>
    </row>
    <row r="2252" spans="1:12" ht="18" customHeight="1" x14ac:dyDescent="0.15">
      <c r="A2252" s="1">
        <v>5507</v>
      </c>
      <c r="B2252" s="11" t="s">
        <v>536</v>
      </c>
      <c r="C2252" s="11" t="s">
        <v>566</v>
      </c>
      <c r="D2252" s="11">
        <v>1</v>
      </c>
      <c r="E2252" s="11" t="s">
        <v>9</v>
      </c>
      <c r="F2252" s="12">
        <v>42900</v>
      </c>
      <c r="G2252" s="12">
        <v>42900</v>
      </c>
      <c r="H2252" s="11" t="str">
        <f t="shared" si="74"/>
        <v>平成4年12月5日</v>
      </c>
      <c r="I2252" s="22">
        <f t="shared" si="73"/>
        <v>33943</v>
      </c>
      <c r="J2252" s="1" t="str">
        <f>"00748249"</f>
        <v>00748249</v>
      </c>
      <c r="K2252" s="1" t="str">
        <f>"６１０　　　　　　　　　　　　　　　　　"</f>
        <v>６１０　　　　　　　　　　　　　　　　　</v>
      </c>
      <c r="L2252" s="1"/>
    </row>
    <row r="2253" spans="1:12" ht="18" customHeight="1" x14ac:dyDescent="0.15">
      <c r="A2253" s="1">
        <v>5508</v>
      </c>
      <c r="B2253" s="11" t="s">
        <v>536</v>
      </c>
      <c r="C2253" s="11" t="s">
        <v>566</v>
      </c>
      <c r="D2253" s="11">
        <v>1</v>
      </c>
      <c r="E2253" s="11" t="s">
        <v>9</v>
      </c>
      <c r="F2253" s="12">
        <v>42900</v>
      </c>
      <c r="G2253" s="12">
        <v>42900</v>
      </c>
      <c r="H2253" s="11" t="str">
        <f t="shared" si="74"/>
        <v>平成4年12月5日</v>
      </c>
      <c r="I2253" s="22">
        <f t="shared" si="73"/>
        <v>33943</v>
      </c>
      <c r="J2253" s="1" t="str">
        <f>"00748251"</f>
        <v>00748251</v>
      </c>
      <c r="K2253" s="1" t="str">
        <f>"６１１　　　　　　　　　　　　　　　　　"</f>
        <v>６１１　　　　　　　　　　　　　　　　　</v>
      </c>
      <c r="L2253" s="1"/>
    </row>
    <row r="2254" spans="1:12" ht="18" customHeight="1" x14ac:dyDescent="0.15">
      <c r="A2254" s="1">
        <v>5509</v>
      </c>
      <c r="B2254" s="11" t="s">
        <v>536</v>
      </c>
      <c r="C2254" s="11" t="s">
        <v>566</v>
      </c>
      <c r="D2254" s="11">
        <v>1</v>
      </c>
      <c r="E2254" s="11" t="s">
        <v>9</v>
      </c>
      <c r="F2254" s="12">
        <v>42900</v>
      </c>
      <c r="G2254" s="12">
        <v>42900</v>
      </c>
      <c r="H2254" s="11" t="str">
        <f t="shared" si="74"/>
        <v>平成4年12月5日</v>
      </c>
      <c r="I2254" s="22">
        <f t="shared" si="73"/>
        <v>33943</v>
      </c>
      <c r="J2254" s="1" t="str">
        <f>"00748253"</f>
        <v>00748253</v>
      </c>
      <c r="K2254" s="1" t="str">
        <f>"６１２　　　　　　　　　　　　　　　　　"</f>
        <v>６１２　　　　　　　　　　　　　　　　　</v>
      </c>
      <c r="L2254" s="1"/>
    </row>
    <row r="2255" spans="1:12" ht="18" customHeight="1" x14ac:dyDescent="0.15">
      <c r="A2255" s="1">
        <v>5510</v>
      </c>
      <c r="B2255" s="11" t="s">
        <v>536</v>
      </c>
      <c r="C2255" s="11" t="s">
        <v>566</v>
      </c>
      <c r="D2255" s="11">
        <v>1</v>
      </c>
      <c r="E2255" s="11" t="s">
        <v>9</v>
      </c>
      <c r="F2255" s="12">
        <v>42900</v>
      </c>
      <c r="G2255" s="12">
        <v>42900</v>
      </c>
      <c r="H2255" s="11" t="str">
        <f t="shared" si="74"/>
        <v>平成4年12月5日</v>
      </c>
      <c r="I2255" s="22">
        <f t="shared" si="73"/>
        <v>33943</v>
      </c>
      <c r="J2255" s="1" t="str">
        <f>"00748255"</f>
        <v>00748255</v>
      </c>
      <c r="K2255" s="1" t="str">
        <f>"６１３　　　　　　　　　　　　　　　　　"</f>
        <v>６１３　　　　　　　　　　　　　　　　　</v>
      </c>
      <c r="L2255" s="1"/>
    </row>
    <row r="2256" spans="1:12" ht="18" customHeight="1" x14ac:dyDescent="0.15">
      <c r="A2256" s="1">
        <v>5511</v>
      </c>
      <c r="B2256" s="11" t="s">
        <v>536</v>
      </c>
      <c r="C2256" s="11" t="s">
        <v>566</v>
      </c>
      <c r="D2256" s="11">
        <v>1</v>
      </c>
      <c r="E2256" s="11" t="s">
        <v>9</v>
      </c>
      <c r="F2256" s="12">
        <v>42900</v>
      </c>
      <c r="G2256" s="12">
        <v>42900</v>
      </c>
      <c r="H2256" s="11" t="str">
        <f t="shared" si="74"/>
        <v>平成4年12月5日</v>
      </c>
      <c r="I2256" s="22">
        <f t="shared" si="73"/>
        <v>33943</v>
      </c>
      <c r="J2256" s="1" t="str">
        <f>"00748256"</f>
        <v>00748256</v>
      </c>
      <c r="K2256" s="1" t="str">
        <f>"６１４　　　　　　　　　　　　　　　　　"</f>
        <v>６１４　　　　　　　　　　　　　　　　　</v>
      </c>
      <c r="L2256" s="1"/>
    </row>
    <row r="2257" spans="1:12" ht="18" customHeight="1" x14ac:dyDescent="0.15">
      <c r="A2257" s="1">
        <v>5512</v>
      </c>
      <c r="B2257" s="11" t="s">
        <v>536</v>
      </c>
      <c r="C2257" s="11" t="s">
        <v>566</v>
      </c>
      <c r="D2257" s="11">
        <v>1</v>
      </c>
      <c r="E2257" s="11" t="s">
        <v>9</v>
      </c>
      <c r="F2257" s="12">
        <v>42900</v>
      </c>
      <c r="G2257" s="12">
        <v>42900</v>
      </c>
      <c r="H2257" s="11" t="str">
        <f t="shared" si="74"/>
        <v>平成4年12月5日</v>
      </c>
      <c r="I2257" s="22">
        <f t="shared" si="73"/>
        <v>33943</v>
      </c>
      <c r="J2257" s="1" t="str">
        <f>"00748258"</f>
        <v>00748258</v>
      </c>
      <c r="K2257" s="1" t="str">
        <f>"６１５　　　　　　　　　　　　　　　　　"</f>
        <v>６１５　　　　　　　　　　　　　　　　　</v>
      </c>
      <c r="L2257" s="1"/>
    </row>
    <row r="2258" spans="1:12" ht="18" customHeight="1" x14ac:dyDescent="0.15">
      <c r="A2258" s="1">
        <v>5513</v>
      </c>
      <c r="B2258" s="11" t="s">
        <v>536</v>
      </c>
      <c r="C2258" s="11" t="s">
        <v>566</v>
      </c>
      <c r="D2258" s="11">
        <v>1</v>
      </c>
      <c r="E2258" s="11" t="s">
        <v>9</v>
      </c>
      <c r="F2258" s="12">
        <v>42900</v>
      </c>
      <c r="G2258" s="12">
        <v>42900</v>
      </c>
      <c r="H2258" s="11" t="str">
        <f t="shared" si="74"/>
        <v>平成4年12月5日</v>
      </c>
      <c r="I2258" s="22">
        <f t="shared" ref="I2258:I2321" si="75">DATEVALUE(H2258)</f>
        <v>33943</v>
      </c>
      <c r="J2258" s="1" t="str">
        <f>"00748260"</f>
        <v>00748260</v>
      </c>
      <c r="K2258" s="1" t="str">
        <f>"６１６　　　　　　　　　　　　　　　　　"</f>
        <v>６１６　　　　　　　　　　　　　　　　　</v>
      </c>
      <c r="L2258" s="1"/>
    </row>
    <row r="2259" spans="1:12" ht="18" customHeight="1" x14ac:dyDescent="0.15">
      <c r="A2259" s="1">
        <v>5514</v>
      </c>
      <c r="B2259" s="11" t="s">
        <v>536</v>
      </c>
      <c r="C2259" s="11" t="s">
        <v>567</v>
      </c>
      <c r="D2259" s="11">
        <v>1</v>
      </c>
      <c r="E2259" s="11" t="s">
        <v>9</v>
      </c>
      <c r="F2259" s="12">
        <v>36100</v>
      </c>
      <c r="G2259" s="12">
        <v>36100</v>
      </c>
      <c r="H2259" s="11" t="str">
        <f t="shared" si="74"/>
        <v>平成4年12月5日</v>
      </c>
      <c r="I2259" s="22">
        <f t="shared" si="75"/>
        <v>33943</v>
      </c>
      <c r="J2259" s="1" t="str">
        <f>"00748262"</f>
        <v>00748262</v>
      </c>
      <c r="K2259" s="1" t="str">
        <f>"６１７　　　　　　　　　　　　　　　　　"</f>
        <v>６１７　　　　　　　　　　　　　　　　　</v>
      </c>
      <c r="L2259" s="1"/>
    </row>
    <row r="2260" spans="1:12" ht="18" customHeight="1" x14ac:dyDescent="0.15">
      <c r="A2260" s="1">
        <v>5515</v>
      </c>
      <c r="B2260" s="11" t="s">
        <v>536</v>
      </c>
      <c r="C2260" s="11" t="s">
        <v>567</v>
      </c>
      <c r="D2260" s="11">
        <v>1</v>
      </c>
      <c r="E2260" s="11" t="s">
        <v>9</v>
      </c>
      <c r="F2260" s="12">
        <v>36100</v>
      </c>
      <c r="G2260" s="12">
        <v>36100</v>
      </c>
      <c r="H2260" s="11" t="str">
        <f t="shared" si="74"/>
        <v>平成4年12月5日</v>
      </c>
      <c r="I2260" s="22">
        <f t="shared" si="75"/>
        <v>33943</v>
      </c>
      <c r="J2260" s="1" t="str">
        <f>"00748264"</f>
        <v>00748264</v>
      </c>
      <c r="K2260" s="1" t="str">
        <f>"６１８　　　　　　　　　　　　　　　　　"</f>
        <v>６１８　　　　　　　　　　　　　　　　　</v>
      </c>
      <c r="L2260" s="1"/>
    </row>
    <row r="2261" spans="1:12" ht="18" customHeight="1" x14ac:dyDescent="0.15">
      <c r="A2261" s="1">
        <v>5516</v>
      </c>
      <c r="B2261" s="11" t="s">
        <v>536</v>
      </c>
      <c r="C2261" s="11" t="s">
        <v>568</v>
      </c>
      <c r="D2261" s="11">
        <v>1</v>
      </c>
      <c r="E2261" s="11" t="s">
        <v>9</v>
      </c>
      <c r="F2261" s="12">
        <v>41800</v>
      </c>
      <c r="G2261" s="12">
        <v>41800</v>
      </c>
      <c r="H2261" s="11" t="str">
        <f t="shared" si="74"/>
        <v>平成4年12月5日</v>
      </c>
      <c r="I2261" s="22">
        <f t="shared" si="75"/>
        <v>33943</v>
      </c>
      <c r="J2261" s="1" t="str">
        <f>"00748266"</f>
        <v>00748266</v>
      </c>
      <c r="K2261" s="1" t="str">
        <f>"６１９　　　　　　　　　　　　　　　　　"</f>
        <v>６１９　　　　　　　　　　　　　　　　　</v>
      </c>
      <c r="L2261" s="1"/>
    </row>
    <row r="2262" spans="1:12" ht="18" customHeight="1" x14ac:dyDescent="0.15">
      <c r="A2262" s="1">
        <v>5517</v>
      </c>
      <c r="B2262" s="11" t="s">
        <v>536</v>
      </c>
      <c r="C2262" s="11" t="s">
        <v>568</v>
      </c>
      <c r="D2262" s="11">
        <v>1</v>
      </c>
      <c r="E2262" s="11" t="s">
        <v>9</v>
      </c>
      <c r="F2262" s="12">
        <v>41800</v>
      </c>
      <c r="G2262" s="12">
        <v>41800</v>
      </c>
      <c r="H2262" s="11" t="str">
        <f t="shared" si="74"/>
        <v>平成4年12月5日</v>
      </c>
      <c r="I2262" s="22">
        <f t="shared" si="75"/>
        <v>33943</v>
      </c>
      <c r="J2262" s="1" t="str">
        <f>"00748268"</f>
        <v>00748268</v>
      </c>
      <c r="K2262" s="1" t="str">
        <f>"６２０　　　　　　　　　　　　　　　　　"</f>
        <v>６２０　　　　　　　　　　　　　　　　　</v>
      </c>
      <c r="L2262" s="1"/>
    </row>
    <row r="2263" spans="1:12" ht="18" customHeight="1" x14ac:dyDescent="0.15">
      <c r="A2263" s="1">
        <v>5518</v>
      </c>
      <c r="B2263" s="11" t="s">
        <v>536</v>
      </c>
      <c r="C2263" s="11" t="s">
        <v>569</v>
      </c>
      <c r="D2263" s="11">
        <v>1</v>
      </c>
      <c r="E2263" s="11" t="s">
        <v>9</v>
      </c>
      <c r="F2263" s="12">
        <v>59300</v>
      </c>
      <c r="G2263" s="12">
        <v>59300</v>
      </c>
      <c r="H2263" s="11" t="str">
        <f t="shared" si="74"/>
        <v>平成4年12月5日</v>
      </c>
      <c r="I2263" s="22">
        <f t="shared" si="75"/>
        <v>33943</v>
      </c>
      <c r="J2263" s="1" t="str">
        <f>"00748270"</f>
        <v>00748270</v>
      </c>
      <c r="K2263" s="1" t="str">
        <f>"６２１　　　　　　　　　　　　　　　　　"</f>
        <v>６２１　　　　　　　　　　　　　　　　　</v>
      </c>
      <c r="L2263" s="1"/>
    </row>
    <row r="2264" spans="1:12" ht="18" customHeight="1" x14ac:dyDescent="0.15">
      <c r="A2264" s="1">
        <v>5519</v>
      </c>
      <c r="B2264" s="11" t="s">
        <v>536</v>
      </c>
      <c r="C2264" s="11" t="s">
        <v>569</v>
      </c>
      <c r="D2264" s="11">
        <v>1</v>
      </c>
      <c r="E2264" s="11" t="s">
        <v>9</v>
      </c>
      <c r="F2264" s="12">
        <v>59300</v>
      </c>
      <c r="G2264" s="12">
        <v>59300</v>
      </c>
      <c r="H2264" s="11" t="str">
        <f t="shared" si="74"/>
        <v>平成4年12月5日</v>
      </c>
      <c r="I2264" s="22">
        <f t="shared" si="75"/>
        <v>33943</v>
      </c>
      <c r="J2264" s="1" t="str">
        <f>"00748272"</f>
        <v>00748272</v>
      </c>
      <c r="K2264" s="1" t="str">
        <f>"６２２　　　　　　　　　　　　　　　　　"</f>
        <v>６２２　　　　　　　　　　　　　　　　　</v>
      </c>
      <c r="L2264" s="1"/>
    </row>
    <row r="2265" spans="1:12" ht="18" customHeight="1" x14ac:dyDescent="0.15">
      <c r="A2265" s="1">
        <v>5520</v>
      </c>
      <c r="B2265" s="11" t="s">
        <v>536</v>
      </c>
      <c r="C2265" s="11" t="s">
        <v>570</v>
      </c>
      <c r="D2265" s="11">
        <v>1</v>
      </c>
      <c r="E2265" s="11" t="s">
        <v>9</v>
      </c>
      <c r="F2265" s="12">
        <v>31500</v>
      </c>
      <c r="G2265" s="12">
        <v>31500</v>
      </c>
      <c r="H2265" s="11" t="str">
        <f t="shared" si="74"/>
        <v>平成4年12月5日</v>
      </c>
      <c r="I2265" s="22">
        <f t="shared" si="75"/>
        <v>33943</v>
      </c>
      <c r="J2265" s="1" t="str">
        <f>"00748274"</f>
        <v>00748274</v>
      </c>
      <c r="K2265" s="1" t="str">
        <f>"６２３　　　　　　　　　　　　　　　　　"</f>
        <v>６２３　　　　　　　　　　　　　　　　　</v>
      </c>
      <c r="L2265" s="1"/>
    </row>
    <row r="2266" spans="1:12" ht="18" customHeight="1" x14ac:dyDescent="0.15">
      <c r="A2266" s="1">
        <v>5521</v>
      </c>
      <c r="B2266" s="11" t="s">
        <v>536</v>
      </c>
      <c r="C2266" s="11" t="s">
        <v>570</v>
      </c>
      <c r="D2266" s="11">
        <v>1</v>
      </c>
      <c r="E2266" s="11" t="s">
        <v>9</v>
      </c>
      <c r="F2266" s="12">
        <v>31500</v>
      </c>
      <c r="G2266" s="12">
        <v>31500</v>
      </c>
      <c r="H2266" s="11" t="str">
        <f t="shared" si="74"/>
        <v>平成4年12月5日</v>
      </c>
      <c r="I2266" s="22">
        <f t="shared" si="75"/>
        <v>33943</v>
      </c>
      <c r="J2266" s="1" t="str">
        <f>"00748276"</f>
        <v>00748276</v>
      </c>
      <c r="K2266" s="1" t="str">
        <f>"６２４　　　　　　　　　　　　　　　　　"</f>
        <v>６２４　　　　　　　　　　　　　　　　　</v>
      </c>
      <c r="L2266" s="1"/>
    </row>
    <row r="2267" spans="1:12" ht="18" customHeight="1" x14ac:dyDescent="0.15">
      <c r="A2267" s="1">
        <v>5522</v>
      </c>
      <c r="B2267" s="11" t="s">
        <v>536</v>
      </c>
      <c r="C2267" s="11" t="s">
        <v>571</v>
      </c>
      <c r="D2267" s="11">
        <v>1</v>
      </c>
      <c r="E2267" s="11" t="s">
        <v>9</v>
      </c>
      <c r="F2267" s="12">
        <v>56700</v>
      </c>
      <c r="G2267" s="12">
        <v>56700</v>
      </c>
      <c r="H2267" s="11" t="str">
        <f t="shared" si="74"/>
        <v>平成4年12月5日</v>
      </c>
      <c r="I2267" s="22">
        <f t="shared" si="75"/>
        <v>33943</v>
      </c>
      <c r="J2267" s="1" t="str">
        <f>"00748278"</f>
        <v>00748278</v>
      </c>
      <c r="K2267" s="1" t="str">
        <f>"６２５　　　　　　　　　　　　　　　　　"</f>
        <v>６２５　　　　　　　　　　　　　　　　　</v>
      </c>
      <c r="L2267" s="1"/>
    </row>
    <row r="2268" spans="1:12" ht="18" customHeight="1" x14ac:dyDescent="0.15">
      <c r="A2268" s="1">
        <v>5523</v>
      </c>
      <c r="B2268" s="11" t="s">
        <v>536</v>
      </c>
      <c r="C2268" s="11" t="s">
        <v>571</v>
      </c>
      <c r="D2268" s="11">
        <v>1</v>
      </c>
      <c r="E2268" s="11" t="s">
        <v>9</v>
      </c>
      <c r="F2268" s="12">
        <v>56700</v>
      </c>
      <c r="G2268" s="12">
        <v>56700</v>
      </c>
      <c r="H2268" s="11" t="str">
        <f t="shared" si="74"/>
        <v>平成4年12月5日</v>
      </c>
      <c r="I2268" s="22">
        <f t="shared" si="75"/>
        <v>33943</v>
      </c>
      <c r="J2268" s="1" t="str">
        <f>"00748280"</f>
        <v>00748280</v>
      </c>
      <c r="K2268" s="1" t="str">
        <f>"６２６　　　　　　　　　　　　　　　　　"</f>
        <v>６２６　　　　　　　　　　　　　　　　　</v>
      </c>
      <c r="L2268" s="1"/>
    </row>
    <row r="2269" spans="1:12" ht="18" customHeight="1" x14ac:dyDescent="0.15">
      <c r="A2269" s="1">
        <v>5524</v>
      </c>
      <c r="B2269" s="11" t="s">
        <v>536</v>
      </c>
      <c r="C2269" s="11" t="s">
        <v>572</v>
      </c>
      <c r="D2269" s="11">
        <v>1</v>
      </c>
      <c r="E2269" s="11" t="s">
        <v>9</v>
      </c>
      <c r="F2269" s="12">
        <v>45400</v>
      </c>
      <c r="G2269" s="12">
        <v>45400</v>
      </c>
      <c r="H2269" s="11" t="str">
        <f t="shared" si="74"/>
        <v>平成4年12月5日</v>
      </c>
      <c r="I2269" s="22">
        <f t="shared" si="75"/>
        <v>33943</v>
      </c>
      <c r="J2269" s="1" t="str">
        <f>"00748282"</f>
        <v>00748282</v>
      </c>
      <c r="K2269" s="1" t="str">
        <f>"６２７　　　　　　　　　　　　　　　　　"</f>
        <v>６２７　　　　　　　　　　　　　　　　　</v>
      </c>
      <c r="L2269" s="1"/>
    </row>
    <row r="2270" spans="1:12" ht="18" customHeight="1" x14ac:dyDescent="0.15">
      <c r="A2270" s="1">
        <v>5525</v>
      </c>
      <c r="B2270" s="11" t="s">
        <v>536</v>
      </c>
      <c r="C2270" s="11" t="s">
        <v>572</v>
      </c>
      <c r="D2270" s="11">
        <v>1</v>
      </c>
      <c r="E2270" s="11" t="s">
        <v>9</v>
      </c>
      <c r="F2270" s="12">
        <v>45400</v>
      </c>
      <c r="G2270" s="12">
        <v>45400</v>
      </c>
      <c r="H2270" s="11" t="str">
        <f t="shared" si="74"/>
        <v>平成4年12月5日</v>
      </c>
      <c r="I2270" s="22">
        <f t="shared" si="75"/>
        <v>33943</v>
      </c>
      <c r="J2270" s="1" t="str">
        <f>"00748284"</f>
        <v>00748284</v>
      </c>
      <c r="K2270" s="1" t="str">
        <f>"６２８　　　　　　　　　　　　　　　　　"</f>
        <v>６２８　　　　　　　　　　　　　　　　　</v>
      </c>
      <c r="L2270" s="1"/>
    </row>
    <row r="2271" spans="1:12" ht="18" customHeight="1" x14ac:dyDescent="0.15">
      <c r="A2271" s="1">
        <v>5526</v>
      </c>
      <c r="B2271" s="25" t="s">
        <v>536</v>
      </c>
      <c r="C2271" s="25" t="s">
        <v>573</v>
      </c>
      <c r="D2271" s="25">
        <v>1</v>
      </c>
      <c r="E2271" s="25" t="s">
        <v>9</v>
      </c>
      <c r="F2271" s="38">
        <v>327025</v>
      </c>
      <c r="G2271" s="38" t="s">
        <v>671</v>
      </c>
      <c r="H2271" s="25" t="str">
        <f t="shared" si="74"/>
        <v>平成4年12月5日</v>
      </c>
      <c r="I2271" s="22">
        <f t="shared" si="75"/>
        <v>33943</v>
      </c>
      <c r="J2271" s="1" t="str">
        <f>"00748286"</f>
        <v>00748286</v>
      </c>
      <c r="K2271" s="1" t="str">
        <f>"６２９　　　　　　　　　　　　　　　　　"</f>
        <v>６２９　　　　　　　　　　　　　　　　　</v>
      </c>
      <c r="L2271" s="1"/>
    </row>
    <row r="2272" spans="1:12" ht="18" customHeight="1" x14ac:dyDescent="0.15">
      <c r="A2272" s="1">
        <v>5527</v>
      </c>
      <c r="B2272" s="25" t="s">
        <v>536</v>
      </c>
      <c r="C2272" s="25" t="s">
        <v>573</v>
      </c>
      <c r="D2272" s="25">
        <v>1</v>
      </c>
      <c r="E2272" s="25" t="s">
        <v>9</v>
      </c>
      <c r="F2272" s="38">
        <v>327025</v>
      </c>
      <c r="G2272" s="38" t="s">
        <v>671</v>
      </c>
      <c r="H2272" s="25" t="str">
        <f t="shared" si="74"/>
        <v>平成4年12月5日</v>
      </c>
      <c r="I2272" s="22">
        <f t="shared" si="75"/>
        <v>33943</v>
      </c>
      <c r="J2272" s="1" t="str">
        <f>"00748288"</f>
        <v>00748288</v>
      </c>
      <c r="K2272" s="1" t="str">
        <f>"６３０　　　　　　　　　　　　　　　　　"</f>
        <v>６３０　　　　　　　　　　　　　　　　　</v>
      </c>
      <c r="L2272" s="1"/>
    </row>
    <row r="2273" spans="1:12" ht="18" customHeight="1" x14ac:dyDescent="0.15">
      <c r="A2273" s="1">
        <v>5528</v>
      </c>
      <c r="B2273" s="25" t="s">
        <v>536</v>
      </c>
      <c r="C2273" s="25" t="s">
        <v>574</v>
      </c>
      <c r="D2273" s="25">
        <v>1</v>
      </c>
      <c r="E2273" s="25" t="s">
        <v>9</v>
      </c>
      <c r="F2273" s="38">
        <v>296125</v>
      </c>
      <c r="G2273" s="38" t="s">
        <v>671</v>
      </c>
      <c r="H2273" s="25" t="str">
        <f t="shared" si="74"/>
        <v>平成4年12月5日</v>
      </c>
      <c r="I2273" s="22">
        <f t="shared" si="75"/>
        <v>33943</v>
      </c>
      <c r="J2273" s="1" t="str">
        <f>"00748290"</f>
        <v>00748290</v>
      </c>
      <c r="K2273" s="1" t="str">
        <f>"６３１　　　　　　　　　　　　　　　　　"</f>
        <v>６３１　　　　　　　　　　　　　　　　　</v>
      </c>
      <c r="L2273" s="1"/>
    </row>
    <row r="2274" spans="1:12" ht="18" customHeight="1" x14ac:dyDescent="0.15">
      <c r="A2274" s="1">
        <v>5529</v>
      </c>
      <c r="B2274" s="25" t="s">
        <v>536</v>
      </c>
      <c r="C2274" s="25" t="s">
        <v>574</v>
      </c>
      <c r="D2274" s="25">
        <v>1</v>
      </c>
      <c r="E2274" s="25" t="s">
        <v>9</v>
      </c>
      <c r="F2274" s="38">
        <v>296125</v>
      </c>
      <c r="G2274" s="38" t="s">
        <v>671</v>
      </c>
      <c r="H2274" s="25" t="str">
        <f t="shared" si="74"/>
        <v>平成4年12月5日</v>
      </c>
      <c r="I2274" s="22">
        <f t="shared" si="75"/>
        <v>33943</v>
      </c>
      <c r="J2274" s="1" t="str">
        <f>"00748292"</f>
        <v>00748292</v>
      </c>
      <c r="K2274" s="1" t="str">
        <f>"６３２　　　　　　　　　　　　　　　　　"</f>
        <v>６３２　　　　　　　　　　　　　　　　　</v>
      </c>
      <c r="L2274" s="1"/>
    </row>
    <row r="2275" spans="1:12" s="40" customFormat="1" ht="18" customHeight="1" x14ac:dyDescent="0.15">
      <c r="A2275" s="25">
        <v>5530</v>
      </c>
      <c r="B2275" s="11" t="s">
        <v>536</v>
      </c>
      <c r="C2275" s="11" t="s">
        <v>575</v>
      </c>
      <c r="D2275" s="11">
        <v>1</v>
      </c>
      <c r="E2275" s="11" t="s">
        <v>9</v>
      </c>
      <c r="F2275" s="12">
        <v>84460</v>
      </c>
      <c r="G2275" s="12">
        <v>84460</v>
      </c>
      <c r="H2275" s="11" t="str">
        <f t="shared" si="74"/>
        <v>平成4年12月5日</v>
      </c>
      <c r="I2275" s="39">
        <f t="shared" si="75"/>
        <v>33943</v>
      </c>
      <c r="J2275" s="25" t="str">
        <f>"00748294"</f>
        <v>00748294</v>
      </c>
      <c r="K2275" s="25" t="str">
        <f>"６３３　　　　　　　　　　　　　　　　　"</f>
        <v>６３３　　　　　　　　　　　　　　　　　</v>
      </c>
      <c r="L2275" s="25"/>
    </row>
    <row r="2276" spans="1:12" s="40" customFormat="1" ht="18" customHeight="1" x14ac:dyDescent="0.15">
      <c r="A2276" s="25">
        <v>5531</v>
      </c>
      <c r="B2276" s="11" t="s">
        <v>536</v>
      </c>
      <c r="C2276" s="11" t="s">
        <v>575</v>
      </c>
      <c r="D2276" s="11">
        <v>1</v>
      </c>
      <c r="E2276" s="11" t="s">
        <v>9</v>
      </c>
      <c r="F2276" s="12">
        <v>84460</v>
      </c>
      <c r="G2276" s="12">
        <v>84460</v>
      </c>
      <c r="H2276" s="11" t="str">
        <f t="shared" si="74"/>
        <v>平成4年12月5日</v>
      </c>
      <c r="I2276" s="39">
        <f t="shared" si="75"/>
        <v>33943</v>
      </c>
      <c r="J2276" s="25" t="str">
        <f>"00748296"</f>
        <v>00748296</v>
      </c>
      <c r="K2276" s="25" t="str">
        <f>"６３４　　　　　　　　　　　　　　　　　"</f>
        <v>６３４　　　　　　　　　　　　　　　　　</v>
      </c>
      <c r="L2276" s="25"/>
    </row>
    <row r="2277" spans="1:12" ht="18" customHeight="1" x14ac:dyDescent="0.15">
      <c r="A2277" s="11">
        <v>3726</v>
      </c>
      <c r="B2277" s="11" t="s">
        <v>206</v>
      </c>
      <c r="C2277" s="11" t="s">
        <v>212</v>
      </c>
      <c r="D2277" s="11">
        <v>1</v>
      </c>
      <c r="E2277" s="11" t="s">
        <v>4</v>
      </c>
      <c r="F2277" s="12">
        <v>510000</v>
      </c>
      <c r="G2277" s="12">
        <v>510000</v>
      </c>
      <c r="H2277" s="11" t="str">
        <f t="shared" si="3"/>
        <v>平成5年3月31日</v>
      </c>
      <c r="I2277" s="22">
        <f t="shared" si="75"/>
        <v>34059</v>
      </c>
      <c r="J2277" s="1" t="str">
        <f>"00743883"</f>
        <v>00743883</v>
      </c>
      <c r="K2277" s="1" t="str">
        <f>"３１４　　　　　　　　　　　　　　　　　"</f>
        <v>３１４　　　　　　　　　　　　　　　　　</v>
      </c>
      <c r="L2277" s="1"/>
    </row>
    <row r="2278" spans="1:12" ht="18" customHeight="1" x14ac:dyDescent="0.15">
      <c r="A2278" s="11">
        <v>4871</v>
      </c>
      <c r="B2278" s="11" t="s">
        <v>488</v>
      </c>
      <c r="C2278" s="11" t="s">
        <v>489</v>
      </c>
      <c r="D2278" s="11">
        <v>1</v>
      </c>
      <c r="E2278" s="11" t="s">
        <v>4</v>
      </c>
      <c r="F2278" s="12">
        <v>23800</v>
      </c>
      <c r="G2278" s="12">
        <v>23800</v>
      </c>
      <c r="H2278" s="11" t="str">
        <f t="shared" si="3"/>
        <v>平成5年3月31日</v>
      </c>
      <c r="I2278" s="22">
        <f t="shared" si="75"/>
        <v>34059</v>
      </c>
      <c r="J2278" s="1" t="str">
        <f>"00746903"</f>
        <v>00746903</v>
      </c>
      <c r="K2278" s="1" t="str">
        <f>"３０１　　　　　　　　　　　　　　　　　"</f>
        <v>３０１　　　　　　　　　　　　　　　　　</v>
      </c>
      <c r="L2278" s="1"/>
    </row>
    <row r="2279" spans="1:12" ht="18" customHeight="1" x14ac:dyDescent="0.15">
      <c r="A2279" s="11">
        <v>4872</v>
      </c>
      <c r="B2279" s="11" t="s">
        <v>488</v>
      </c>
      <c r="C2279" s="11" t="s">
        <v>489</v>
      </c>
      <c r="D2279" s="11">
        <v>1</v>
      </c>
      <c r="E2279" s="11" t="s">
        <v>4</v>
      </c>
      <c r="F2279" s="12">
        <v>23800</v>
      </c>
      <c r="G2279" s="12">
        <v>23800</v>
      </c>
      <c r="H2279" s="11" t="str">
        <f t="shared" si="3"/>
        <v>平成5年3月31日</v>
      </c>
      <c r="I2279" s="22">
        <f t="shared" si="75"/>
        <v>34059</v>
      </c>
      <c r="J2279" s="1" t="str">
        <f>"00746905"</f>
        <v>00746905</v>
      </c>
      <c r="K2279" s="1" t="str">
        <f>"３０２　　　　　　　　　　　　　　　　　"</f>
        <v>３０２　　　　　　　　　　　　　　　　　</v>
      </c>
      <c r="L2279" s="1"/>
    </row>
    <row r="2280" spans="1:12" ht="18" customHeight="1" x14ac:dyDescent="0.15">
      <c r="A2280" s="11">
        <v>4874</v>
      </c>
      <c r="B2280" s="11" t="s">
        <v>490</v>
      </c>
      <c r="C2280" s="11" t="s">
        <v>492</v>
      </c>
      <c r="D2280" s="11">
        <v>1</v>
      </c>
      <c r="E2280" s="11" t="s">
        <v>4</v>
      </c>
      <c r="F2280" s="12">
        <v>90100</v>
      </c>
      <c r="G2280" s="12">
        <v>90100</v>
      </c>
      <c r="H2280" s="11" t="str">
        <f t="shared" si="3"/>
        <v>平成5年3月31日</v>
      </c>
      <c r="I2280" s="22">
        <f t="shared" si="75"/>
        <v>34059</v>
      </c>
      <c r="J2280" s="1" t="str">
        <f>"00746909"</f>
        <v>00746909</v>
      </c>
      <c r="K2280" s="1" t="str">
        <f>"３０２　　　　　　　　　　　　　　　　　"</f>
        <v>３０２　　　　　　　　　　　　　　　　　</v>
      </c>
      <c r="L2280" s="1"/>
    </row>
    <row r="2281" spans="1:12" ht="18" customHeight="1" x14ac:dyDescent="0.15">
      <c r="A2281" s="1">
        <v>5552</v>
      </c>
      <c r="B2281" s="11" t="s">
        <v>536</v>
      </c>
      <c r="C2281" s="11" t="s">
        <v>232</v>
      </c>
      <c r="D2281" s="11">
        <v>1</v>
      </c>
      <c r="E2281" s="11" t="s">
        <v>9</v>
      </c>
      <c r="F2281" s="12">
        <v>230000</v>
      </c>
      <c r="G2281" s="12">
        <v>230000</v>
      </c>
      <c r="H2281" s="11" t="str">
        <f t="shared" si="3"/>
        <v>平成5年3月31日</v>
      </c>
      <c r="I2281" s="22">
        <f t="shared" si="75"/>
        <v>34059</v>
      </c>
      <c r="J2281" s="1" t="str">
        <f>"00748339"</f>
        <v>00748339</v>
      </c>
      <c r="K2281" s="1" t="str">
        <f>"６５５　　　　　　　　　　　　　　　　　"</f>
        <v>６５５　　　　　　　　　　　　　　　　　</v>
      </c>
      <c r="L2281" s="1"/>
    </row>
    <row r="2282" spans="1:12" ht="18" customHeight="1" x14ac:dyDescent="0.15">
      <c r="A2282" s="1">
        <v>5553</v>
      </c>
      <c r="B2282" s="11" t="s">
        <v>536</v>
      </c>
      <c r="C2282" s="11" t="s">
        <v>232</v>
      </c>
      <c r="D2282" s="11">
        <v>1</v>
      </c>
      <c r="E2282" s="11" t="s">
        <v>9</v>
      </c>
      <c r="F2282" s="12">
        <v>230000</v>
      </c>
      <c r="G2282" s="12">
        <v>230000</v>
      </c>
      <c r="H2282" s="11" t="str">
        <f t="shared" si="3"/>
        <v>平成5年3月31日</v>
      </c>
      <c r="I2282" s="22">
        <f t="shared" si="75"/>
        <v>34059</v>
      </c>
      <c r="J2282" s="1" t="str">
        <f>"00748341"</f>
        <v>00748341</v>
      </c>
      <c r="K2282" s="1" t="str">
        <f>"６５６　　　　　　　　　　　　　　　　　"</f>
        <v>６５６　　　　　　　　　　　　　　　　　</v>
      </c>
      <c r="L2282" s="1"/>
    </row>
    <row r="2283" spans="1:12" ht="18" customHeight="1" x14ac:dyDescent="0.15">
      <c r="A2283" s="1">
        <v>5554</v>
      </c>
      <c r="B2283" s="11" t="s">
        <v>536</v>
      </c>
      <c r="C2283" s="11" t="s">
        <v>577</v>
      </c>
      <c r="D2283" s="11">
        <v>1</v>
      </c>
      <c r="E2283" s="11" t="s">
        <v>9</v>
      </c>
      <c r="F2283" s="12">
        <v>340000</v>
      </c>
      <c r="G2283" s="12">
        <v>340000</v>
      </c>
      <c r="H2283" s="11" t="str">
        <f t="shared" si="3"/>
        <v>平成5年3月31日</v>
      </c>
      <c r="I2283" s="22">
        <f t="shared" si="75"/>
        <v>34059</v>
      </c>
      <c r="J2283" s="1" t="str">
        <f>"00748343"</f>
        <v>00748343</v>
      </c>
      <c r="K2283" s="1" t="str">
        <f>"６５７　　　　　　　　　　　　　　　　　"</f>
        <v>６５７　　　　　　　　　　　　　　　　　</v>
      </c>
      <c r="L2283" s="1"/>
    </row>
    <row r="2284" spans="1:12" ht="18" customHeight="1" x14ac:dyDescent="0.15">
      <c r="A2284" s="11">
        <v>84</v>
      </c>
      <c r="B2284" s="11" t="s">
        <v>62</v>
      </c>
      <c r="C2284" s="11" t="s">
        <v>103</v>
      </c>
      <c r="D2284" s="11">
        <v>1</v>
      </c>
      <c r="E2284" s="11" t="s">
        <v>4</v>
      </c>
      <c r="F2284" s="12">
        <v>73645</v>
      </c>
      <c r="G2284" s="12">
        <v>73645</v>
      </c>
      <c r="H2284" s="11" t="str">
        <f t="shared" si="4"/>
        <v>平成6年3月31日</v>
      </c>
      <c r="I2284" s="22">
        <f t="shared" si="75"/>
        <v>34424</v>
      </c>
      <c r="J2284" s="1" t="str">
        <f>"00736241"</f>
        <v>00736241</v>
      </c>
      <c r="K2284" s="1" t="str">
        <f>"３８０　　　　　　　　　　　　　　　　　"</f>
        <v>３８０　　　　　　　　　　　　　　　　　</v>
      </c>
      <c r="L2284" s="1"/>
    </row>
    <row r="2285" spans="1:12" ht="18" customHeight="1" x14ac:dyDescent="0.15">
      <c r="A2285" s="11">
        <v>85</v>
      </c>
      <c r="B2285" s="11" t="s">
        <v>62</v>
      </c>
      <c r="C2285" s="11" t="s">
        <v>103</v>
      </c>
      <c r="D2285" s="11">
        <v>1</v>
      </c>
      <c r="E2285" s="11" t="s">
        <v>4</v>
      </c>
      <c r="F2285" s="12">
        <v>73645</v>
      </c>
      <c r="G2285" s="12">
        <v>73645</v>
      </c>
      <c r="H2285" s="11" t="str">
        <f t="shared" si="4"/>
        <v>平成6年3月31日</v>
      </c>
      <c r="I2285" s="22">
        <f t="shared" si="75"/>
        <v>34424</v>
      </c>
      <c r="J2285" s="1" t="str">
        <f>"00736244"</f>
        <v>00736244</v>
      </c>
      <c r="K2285" s="1" t="str">
        <f>"３８１　　　　　　　　　　　　　　　　　"</f>
        <v>３８１　　　　　　　　　　　　　　　　　</v>
      </c>
      <c r="L2285" s="1"/>
    </row>
    <row r="2286" spans="1:12" ht="18" customHeight="1" x14ac:dyDescent="0.15">
      <c r="A2286" s="11">
        <v>86</v>
      </c>
      <c r="B2286" s="11" t="s">
        <v>62</v>
      </c>
      <c r="C2286" s="11" t="s">
        <v>104</v>
      </c>
      <c r="D2286" s="11">
        <v>1</v>
      </c>
      <c r="E2286" s="11" t="s">
        <v>4</v>
      </c>
      <c r="F2286" s="12">
        <v>44290</v>
      </c>
      <c r="G2286" s="12">
        <v>44290</v>
      </c>
      <c r="H2286" s="11" t="str">
        <f t="shared" si="4"/>
        <v>平成6年3月31日</v>
      </c>
      <c r="I2286" s="22">
        <f t="shared" si="75"/>
        <v>34424</v>
      </c>
      <c r="J2286" s="1" t="str">
        <f>"00736247"</f>
        <v>00736247</v>
      </c>
      <c r="K2286" s="1" t="str">
        <f>"３８２　　　　　　　　　　　　　　　　　"</f>
        <v>３８２　　　　　　　　　　　　　　　　　</v>
      </c>
      <c r="L2286" s="1"/>
    </row>
    <row r="2287" spans="1:12" ht="18" customHeight="1" x14ac:dyDescent="0.15">
      <c r="A2287" s="11">
        <v>87</v>
      </c>
      <c r="B2287" s="11" t="s">
        <v>62</v>
      </c>
      <c r="C2287" s="11" t="s">
        <v>104</v>
      </c>
      <c r="D2287" s="11">
        <v>1</v>
      </c>
      <c r="E2287" s="11" t="s">
        <v>4</v>
      </c>
      <c r="F2287" s="12">
        <v>44290</v>
      </c>
      <c r="G2287" s="12">
        <v>44290</v>
      </c>
      <c r="H2287" s="11" t="str">
        <f t="shared" si="4"/>
        <v>平成6年3月31日</v>
      </c>
      <c r="I2287" s="22">
        <f t="shared" si="75"/>
        <v>34424</v>
      </c>
      <c r="J2287" s="1" t="str">
        <f>"00736250"</f>
        <v>00736250</v>
      </c>
      <c r="K2287" s="1" t="str">
        <f>"３８３　　　　　　　　　　　　　　　　　"</f>
        <v>３８３　　　　　　　　　　　　　　　　　</v>
      </c>
      <c r="L2287" s="1"/>
    </row>
    <row r="2288" spans="1:12" ht="18" customHeight="1" x14ac:dyDescent="0.15">
      <c r="A2288" s="11">
        <v>88</v>
      </c>
      <c r="B2288" s="11" t="s">
        <v>62</v>
      </c>
      <c r="C2288" s="11" t="s">
        <v>104</v>
      </c>
      <c r="D2288" s="11">
        <v>1</v>
      </c>
      <c r="E2288" s="11" t="s">
        <v>4</v>
      </c>
      <c r="F2288" s="12">
        <v>44290</v>
      </c>
      <c r="G2288" s="12">
        <v>44290</v>
      </c>
      <c r="H2288" s="11" t="str">
        <f t="shared" si="4"/>
        <v>平成6年3月31日</v>
      </c>
      <c r="I2288" s="22">
        <f t="shared" si="75"/>
        <v>34424</v>
      </c>
      <c r="J2288" s="1" t="str">
        <f>"00736253"</f>
        <v>00736253</v>
      </c>
      <c r="K2288" s="1" t="str">
        <f>"３８４　　　　　　　　　　　　　　　　　"</f>
        <v>３８４　　　　　　　　　　　　　　　　　</v>
      </c>
      <c r="L2288" s="1"/>
    </row>
    <row r="2289" spans="1:12" ht="18" customHeight="1" x14ac:dyDescent="0.15">
      <c r="A2289" s="11">
        <v>89</v>
      </c>
      <c r="B2289" s="11" t="s">
        <v>62</v>
      </c>
      <c r="C2289" s="11" t="s">
        <v>105</v>
      </c>
      <c r="D2289" s="11">
        <v>1</v>
      </c>
      <c r="E2289" s="11" t="s">
        <v>4</v>
      </c>
      <c r="F2289" s="12">
        <v>72100</v>
      </c>
      <c r="G2289" s="12">
        <v>72100</v>
      </c>
      <c r="H2289" s="11" t="str">
        <f t="shared" si="4"/>
        <v>平成6年3月31日</v>
      </c>
      <c r="I2289" s="22">
        <f t="shared" si="75"/>
        <v>34424</v>
      </c>
      <c r="J2289" s="1" t="str">
        <f>"00736256"</f>
        <v>00736256</v>
      </c>
      <c r="K2289" s="1" t="str">
        <f>"３８５　　　　　　　　　　　　　　　　　"</f>
        <v>３８５　　　　　　　　　　　　　　　　　</v>
      </c>
      <c r="L2289" s="1"/>
    </row>
    <row r="2290" spans="1:12" ht="18" customHeight="1" x14ac:dyDescent="0.15">
      <c r="A2290" s="11">
        <v>2570</v>
      </c>
      <c r="B2290" s="11" t="s">
        <v>53</v>
      </c>
      <c r="C2290" s="11" t="s">
        <v>157</v>
      </c>
      <c r="D2290" s="11">
        <v>1</v>
      </c>
      <c r="E2290" s="11" t="s">
        <v>4</v>
      </c>
      <c r="F2290" s="12">
        <v>39140</v>
      </c>
      <c r="G2290" s="12">
        <v>39140</v>
      </c>
      <c r="H2290" s="11" t="str">
        <f t="shared" si="4"/>
        <v>平成6年3月31日</v>
      </c>
      <c r="I2290" s="22">
        <f t="shared" si="75"/>
        <v>34424</v>
      </c>
      <c r="J2290" s="1" t="str">
        <f>"00741535"</f>
        <v>00741535</v>
      </c>
      <c r="K2290" s="1" t="str">
        <f>"１２９８　　　　　　　　　　　　　　　　"</f>
        <v>１２９８　　　　　　　　　　　　　　　　</v>
      </c>
      <c r="L2290" s="1"/>
    </row>
    <row r="2291" spans="1:12" ht="18" customHeight="1" x14ac:dyDescent="0.15">
      <c r="A2291" s="11">
        <v>3987</v>
      </c>
      <c r="B2291" s="11" t="s">
        <v>107</v>
      </c>
      <c r="C2291" s="11" t="s">
        <v>259</v>
      </c>
      <c r="D2291" s="11">
        <v>1</v>
      </c>
      <c r="E2291" s="11" t="s">
        <v>4</v>
      </c>
      <c r="F2291" s="12">
        <v>347110</v>
      </c>
      <c r="G2291" s="12">
        <v>347110</v>
      </c>
      <c r="H2291" s="11" t="str">
        <f t="shared" si="4"/>
        <v>平成6年3月31日</v>
      </c>
      <c r="I2291" s="22">
        <f t="shared" si="75"/>
        <v>34424</v>
      </c>
      <c r="J2291" s="1" t="str">
        <f>"00744609"</f>
        <v>00744609</v>
      </c>
      <c r="K2291" s="1" t="str">
        <f>"３　　　　　　　　　　　　　　　　　　　"</f>
        <v>３　　　　　　　　　　　　　　　　　　　</v>
      </c>
      <c r="L2291" s="1"/>
    </row>
    <row r="2292" spans="1:12" ht="18" customHeight="1" x14ac:dyDescent="0.15">
      <c r="A2292" s="11">
        <v>3993</v>
      </c>
      <c r="B2292" s="11" t="s">
        <v>109</v>
      </c>
      <c r="C2292" s="11" t="s">
        <v>263</v>
      </c>
      <c r="D2292" s="11">
        <v>1</v>
      </c>
      <c r="E2292" s="11" t="s">
        <v>4</v>
      </c>
      <c r="F2292" s="12">
        <v>24246</v>
      </c>
      <c r="G2292" s="12">
        <v>24246</v>
      </c>
      <c r="H2292" s="11" t="str">
        <f t="shared" si="4"/>
        <v>平成6年3月31日</v>
      </c>
      <c r="I2292" s="22">
        <f t="shared" si="75"/>
        <v>34424</v>
      </c>
      <c r="J2292" s="1" t="str">
        <f>"00744637"</f>
        <v>00744637</v>
      </c>
      <c r="K2292" s="1" t="str">
        <f>"３１５　　　　　　　　　　　　　　　　　"</f>
        <v>３１５　　　　　　　　　　　　　　　　　</v>
      </c>
      <c r="L2292" s="1"/>
    </row>
    <row r="2293" spans="1:12" ht="18" customHeight="1" x14ac:dyDescent="0.15">
      <c r="A2293" s="11">
        <v>3994</v>
      </c>
      <c r="B2293" s="11" t="s">
        <v>109</v>
      </c>
      <c r="C2293" s="11" t="s">
        <v>263</v>
      </c>
      <c r="D2293" s="11">
        <v>1</v>
      </c>
      <c r="E2293" s="11" t="s">
        <v>4</v>
      </c>
      <c r="F2293" s="12">
        <v>24246</v>
      </c>
      <c r="G2293" s="12">
        <v>24246</v>
      </c>
      <c r="H2293" s="11" t="str">
        <f t="shared" si="4"/>
        <v>平成6年3月31日</v>
      </c>
      <c r="I2293" s="22">
        <f t="shared" si="75"/>
        <v>34424</v>
      </c>
      <c r="J2293" s="1" t="str">
        <f>"00744639"</f>
        <v>00744639</v>
      </c>
      <c r="K2293" s="1" t="str">
        <f>"３１６　　　　　　　　　　　　　　　　　"</f>
        <v>３１６　　　　　　　　　　　　　　　　　</v>
      </c>
      <c r="L2293" s="1"/>
    </row>
    <row r="2294" spans="1:12" ht="18" customHeight="1" x14ac:dyDescent="0.15">
      <c r="A2294" s="11">
        <v>3995</v>
      </c>
      <c r="B2294" s="11" t="s">
        <v>109</v>
      </c>
      <c r="C2294" s="11" t="s">
        <v>263</v>
      </c>
      <c r="D2294" s="11">
        <v>1</v>
      </c>
      <c r="E2294" s="11" t="s">
        <v>4</v>
      </c>
      <c r="F2294" s="12">
        <v>24246</v>
      </c>
      <c r="G2294" s="12">
        <v>24246</v>
      </c>
      <c r="H2294" s="11" t="str">
        <f t="shared" si="4"/>
        <v>平成6年3月31日</v>
      </c>
      <c r="I2294" s="22">
        <f t="shared" si="75"/>
        <v>34424</v>
      </c>
      <c r="J2294" s="1" t="str">
        <f>"00744641"</f>
        <v>00744641</v>
      </c>
      <c r="K2294" s="1" t="str">
        <f>"３１７　　　　　　　　　　　　　　　　　"</f>
        <v>３１７　　　　　　　　　　　　　　　　　</v>
      </c>
      <c r="L2294" s="1"/>
    </row>
    <row r="2295" spans="1:12" ht="18" customHeight="1" x14ac:dyDescent="0.15">
      <c r="A2295" s="11">
        <v>4067</v>
      </c>
      <c r="B2295" s="11" t="s">
        <v>290</v>
      </c>
      <c r="C2295" s="11" t="s">
        <v>292</v>
      </c>
      <c r="D2295" s="11">
        <v>1</v>
      </c>
      <c r="E2295" s="11" t="s">
        <v>4</v>
      </c>
      <c r="F2295" s="12">
        <v>103618</v>
      </c>
      <c r="G2295" s="12">
        <v>103618</v>
      </c>
      <c r="H2295" s="11" t="str">
        <f t="shared" si="4"/>
        <v>平成6年3月31日</v>
      </c>
      <c r="I2295" s="22">
        <f t="shared" si="75"/>
        <v>34424</v>
      </c>
      <c r="J2295" s="1" t="str">
        <f>"00744815"</f>
        <v>00744815</v>
      </c>
      <c r="K2295" s="1" t="str">
        <f>"３０９　　　　　　　　　　　　　　　　　"</f>
        <v>３０９　　　　　　　　　　　　　　　　　</v>
      </c>
      <c r="L2295" s="1"/>
    </row>
    <row r="2296" spans="1:12" ht="18" customHeight="1" x14ac:dyDescent="0.15">
      <c r="A2296" s="11">
        <v>4068</v>
      </c>
      <c r="B2296" s="11" t="s">
        <v>290</v>
      </c>
      <c r="C2296" s="11" t="s">
        <v>293</v>
      </c>
      <c r="D2296" s="11">
        <v>1</v>
      </c>
      <c r="E2296" s="11" t="s">
        <v>4</v>
      </c>
      <c r="F2296" s="12">
        <v>122879</v>
      </c>
      <c r="G2296" s="12">
        <v>122879</v>
      </c>
      <c r="H2296" s="11" t="str">
        <f t="shared" si="4"/>
        <v>平成6年3月31日</v>
      </c>
      <c r="I2296" s="22">
        <f t="shared" si="75"/>
        <v>34424</v>
      </c>
      <c r="J2296" s="1" t="str">
        <f>"00744817"</f>
        <v>00744817</v>
      </c>
      <c r="K2296" s="1" t="str">
        <f>"３１０　　　　　　　　　　　　　　　　　"</f>
        <v>３１０　　　　　　　　　　　　　　　　　</v>
      </c>
      <c r="L2296" s="1"/>
    </row>
    <row r="2297" spans="1:12" ht="18" customHeight="1" x14ac:dyDescent="0.15">
      <c r="A2297" s="11">
        <v>4527</v>
      </c>
      <c r="B2297" s="11" t="s">
        <v>369</v>
      </c>
      <c r="C2297" s="11" t="s">
        <v>371</v>
      </c>
      <c r="D2297" s="11">
        <v>1</v>
      </c>
      <c r="E2297" s="11" t="s">
        <v>4</v>
      </c>
      <c r="F2297" s="12">
        <v>68412</v>
      </c>
      <c r="G2297" s="12">
        <v>68412</v>
      </c>
      <c r="H2297" s="11" t="str">
        <f t="shared" si="4"/>
        <v>平成6年3月31日</v>
      </c>
      <c r="I2297" s="22">
        <f t="shared" si="75"/>
        <v>34424</v>
      </c>
      <c r="J2297" s="1" t="str">
        <f>"00745961"</f>
        <v>00745961</v>
      </c>
      <c r="K2297" s="1" t="str">
        <f>"３０９　　　　　　　　　　　　　　　　　"</f>
        <v>３０９　　　　　　　　　　　　　　　　　</v>
      </c>
      <c r="L2297" s="1"/>
    </row>
    <row r="2298" spans="1:12" ht="18" customHeight="1" x14ac:dyDescent="0.15">
      <c r="A2298" s="11">
        <v>4528</v>
      </c>
      <c r="B2298" s="11" t="s">
        <v>369</v>
      </c>
      <c r="C2298" s="11" t="s">
        <v>371</v>
      </c>
      <c r="D2298" s="11">
        <v>1</v>
      </c>
      <c r="E2298" s="11" t="s">
        <v>4</v>
      </c>
      <c r="F2298" s="12">
        <v>68412</v>
      </c>
      <c r="G2298" s="12">
        <v>68412</v>
      </c>
      <c r="H2298" s="11" t="str">
        <f t="shared" si="4"/>
        <v>平成6年3月31日</v>
      </c>
      <c r="I2298" s="22">
        <f t="shared" si="75"/>
        <v>34424</v>
      </c>
      <c r="J2298" s="1" t="str">
        <f>"00745963"</f>
        <v>00745963</v>
      </c>
      <c r="K2298" s="1" t="str">
        <f>"３１０　　　　　　　　　　　　　　　　　"</f>
        <v>３１０　　　　　　　　　　　　　　　　　</v>
      </c>
      <c r="L2298" s="1"/>
    </row>
    <row r="2299" spans="1:12" ht="18" customHeight="1" x14ac:dyDescent="0.15">
      <c r="A2299" s="11">
        <v>4529</v>
      </c>
      <c r="B2299" s="11" t="s">
        <v>369</v>
      </c>
      <c r="C2299" s="11" t="s">
        <v>371</v>
      </c>
      <c r="D2299" s="11">
        <v>1</v>
      </c>
      <c r="E2299" s="11" t="s">
        <v>4</v>
      </c>
      <c r="F2299" s="12">
        <v>68412</v>
      </c>
      <c r="G2299" s="12">
        <v>68412</v>
      </c>
      <c r="H2299" s="11" t="str">
        <f t="shared" si="4"/>
        <v>平成6年3月31日</v>
      </c>
      <c r="I2299" s="22">
        <f t="shared" si="75"/>
        <v>34424</v>
      </c>
      <c r="J2299" s="1" t="str">
        <f>"00745965"</f>
        <v>00745965</v>
      </c>
      <c r="K2299" s="1" t="str">
        <f>"３１１　　　　　　　　　　　　　　　　　"</f>
        <v>３１１　　　　　　　　　　　　　　　　　</v>
      </c>
      <c r="L2299" s="1"/>
    </row>
    <row r="2300" spans="1:12" ht="18" customHeight="1" x14ac:dyDescent="0.15">
      <c r="A2300" s="11">
        <v>4530</v>
      </c>
      <c r="B2300" s="11" t="s">
        <v>369</v>
      </c>
      <c r="C2300" s="11" t="s">
        <v>371</v>
      </c>
      <c r="D2300" s="11">
        <v>1</v>
      </c>
      <c r="E2300" s="11" t="s">
        <v>4</v>
      </c>
      <c r="F2300" s="12">
        <v>68412</v>
      </c>
      <c r="G2300" s="12">
        <v>68412</v>
      </c>
      <c r="H2300" s="11" t="str">
        <f t="shared" si="4"/>
        <v>平成6年3月31日</v>
      </c>
      <c r="I2300" s="22">
        <f t="shared" si="75"/>
        <v>34424</v>
      </c>
      <c r="J2300" s="1" t="str">
        <f>"00745967"</f>
        <v>00745967</v>
      </c>
      <c r="K2300" s="1" t="str">
        <f>"３１２　　　　　　　　　　　　　　　　　"</f>
        <v>３１２　　　　　　　　　　　　　　　　　</v>
      </c>
      <c r="L2300" s="1"/>
    </row>
    <row r="2301" spans="1:12" ht="18" customHeight="1" x14ac:dyDescent="0.15">
      <c r="A2301" s="11">
        <v>4818</v>
      </c>
      <c r="B2301" s="11" t="s">
        <v>471</v>
      </c>
      <c r="C2301" s="11" t="s">
        <v>472</v>
      </c>
      <c r="D2301" s="11">
        <v>1</v>
      </c>
      <c r="E2301" s="11" t="s">
        <v>4</v>
      </c>
      <c r="F2301" s="12">
        <v>167890</v>
      </c>
      <c r="G2301" s="12">
        <v>167890</v>
      </c>
      <c r="H2301" s="11" t="str">
        <f t="shared" si="4"/>
        <v>平成6年3月31日</v>
      </c>
      <c r="I2301" s="22">
        <f t="shared" si="75"/>
        <v>34424</v>
      </c>
      <c r="J2301" s="1" t="str">
        <f>"00746665"</f>
        <v>00746665</v>
      </c>
      <c r="K2301" s="1" t="str">
        <f>"３０１　　　　　　　　　　　　　　　　　"</f>
        <v>３０１　　　　　　　　　　　　　　　　　</v>
      </c>
      <c r="L2301" s="1"/>
    </row>
    <row r="2302" spans="1:12" ht="18" customHeight="1" x14ac:dyDescent="0.15">
      <c r="A2302" s="11">
        <v>4819</v>
      </c>
      <c r="B2302" s="11" t="s">
        <v>471</v>
      </c>
      <c r="C2302" s="11" t="s">
        <v>472</v>
      </c>
      <c r="D2302" s="11">
        <v>1</v>
      </c>
      <c r="E2302" s="11" t="s">
        <v>4</v>
      </c>
      <c r="F2302" s="12">
        <v>167890</v>
      </c>
      <c r="G2302" s="12">
        <v>167890</v>
      </c>
      <c r="H2302" s="11" t="str">
        <f t="shared" si="4"/>
        <v>平成6年3月31日</v>
      </c>
      <c r="I2302" s="22">
        <f t="shared" si="75"/>
        <v>34424</v>
      </c>
      <c r="J2302" s="1" t="str">
        <f>"00746667"</f>
        <v>00746667</v>
      </c>
      <c r="K2302" s="1" t="str">
        <f>"３０２　　　　　　　　　　　　　　　　　"</f>
        <v>３０２　　　　　　　　　　　　　　　　　</v>
      </c>
      <c r="L2302" s="1"/>
    </row>
    <row r="2303" spans="1:12" ht="18" customHeight="1" x14ac:dyDescent="0.15">
      <c r="A2303" s="11">
        <v>4820</v>
      </c>
      <c r="B2303" s="11" t="s">
        <v>471</v>
      </c>
      <c r="C2303" s="11" t="s">
        <v>472</v>
      </c>
      <c r="D2303" s="11">
        <v>1</v>
      </c>
      <c r="E2303" s="11" t="s">
        <v>4</v>
      </c>
      <c r="F2303" s="12">
        <v>167890</v>
      </c>
      <c r="G2303" s="12">
        <v>167890</v>
      </c>
      <c r="H2303" s="11" t="str">
        <f t="shared" si="4"/>
        <v>平成6年3月31日</v>
      </c>
      <c r="I2303" s="22">
        <f t="shared" si="75"/>
        <v>34424</v>
      </c>
      <c r="J2303" s="1" t="str">
        <f>"00746671"</f>
        <v>00746671</v>
      </c>
      <c r="K2303" s="1" t="str">
        <f>"３０４　　　　　　　　　　　　　　　　　"</f>
        <v>３０４　　　　　　　　　　　　　　　　　</v>
      </c>
      <c r="L2303" s="1"/>
    </row>
    <row r="2304" spans="1:12" ht="18" customHeight="1" x14ac:dyDescent="0.15">
      <c r="A2304" s="11">
        <v>4821</v>
      </c>
      <c r="B2304" s="11" t="s">
        <v>471</v>
      </c>
      <c r="C2304" s="11" t="s">
        <v>472</v>
      </c>
      <c r="D2304" s="11">
        <v>1</v>
      </c>
      <c r="E2304" s="11" t="s">
        <v>4</v>
      </c>
      <c r="F2304" s="12">
        <v>167890</v>
      </c>
      <c r="G2304" s="12">
        <v>167890</v>
      </c>
      <c r="H2304" s="11" t="str">
        <f t="shared" si="4"/>
        <v>平成6年3月31日</v>
      </c>
      <c r="I2304" s="22">
        <f t="shared" si="75"/>
        <v>34424</v>
      </c>
      <c r="J2304" s="1" t="str">
        <f>"00746677"</f>
        <v>00746677</v>
      </c>
      <c r="K2304" s="1" t="str">
        <f>"３０７　　　　　　　　　　　　　　　　　"</f>
        <v>３０７　　　　　　　　　　　　　　　　　</v>
      </c>
      <c r="L2304" s="1"/>
    </row>
    <row r="2305" spans="1:12" ht="18" customHeight="1" x14ac:dyDescent="0.15">
      <c r="A2305" s="11">
        <v>4822</v>
      </c>
      <c r="B2305" s="11" t="s">
        <v>471</v>
      </c>
      <c r="C2305" s="11" t="s">
        <v>472</v>
      </c>
      <c r="D2305" s="11">
        <v>1</v>
      </c>
      <c r="E2305" s="11" t="s">
        <v>4</v>
      </c>
      <c r="F2305" s="12">
        <v>167890</v>
      </c>
      <c r="G2305" s="12">
        <v>167890</v>
      </c>
      <c r="H2305" s="11" t="str">
        <f t="shared" si="4"/>
        <v>平成6年3月31日</v>
      </c>
      <c r="I2305" s="22">
        <f t="shared" si="75"/>
        <v>34424</v>
      </c>
      <c r="J2305" s="1" t="str">
        <f>"00746679"</f>
        <v>00746679</v>
      </c>
      <c r="K2305" s="1" t="str">
        <f>"３０８　　　　　　　　　　　　　　　　　"</f>
        <v>３０８　　　　　　　　　　　　　　　　　</v>
      </c>
      <c r="L2305" s="1"/>
    </row>
    <row r="2306" spans="1:12" ht="18" customHeight="1" x14ac:dyDescent="0.15">
      <c r="A2306" s="11">
        <v>4823</v>
      </c>
      <c r="B2306" s="11" t="s">
        <v>471</v>
      </c>
      <c r="C2306" s="11" t="s">
        <v>472</v>
      </c>
      <c r="D2306" s="11">
        <v>1</v>
      </c>
      <c r="E2306" s="11" t="s">
        <v>4</v>
      </c>
      <c r="F2306" s="12">
        <v>167890</v>
      </c>
      <c r="G2306" s="12">
        <v>167890</v>
      </c>
      <c r="H2306" s="11" t="str">
        <f t="shared" si="4"/>
        <v>平成6年3月31日</v>
      </c>
      <c r="I2306" s="22">
        <f t="shared" si="75"/>
        <v>34424</v>
      </c>
      <c r="J2306" s="1" t="str">
        <f>"00746681"</f>
        <v>00746681</v>
      </c>
      <c r="K2306" s="1" t="str">
        <f>"３０９　　　　　　　　　　　　　　　　　"</f>
        <v>３０９　　　　　　　　　　　　　　　　　</v>
      </c>
      <c r="L2306" s="1"/>
    </row>
    <row r="2307" spans="1:12" ht="18" customHeight="1" x14ac:dyDescent="0.15">
      <c r="A2307" s="11">
        <v>4824</v>
      </c>
      <c r="B2307" s="11" t="s">
        <v>471</v>
      </c>
      <c r="C2307" s="11" t="s">
        <v>472</v>
      </c>
      <c r="D2307" s="11">
        <v>1</v>
      </c>
      <c r="E2307" s="11" t="s">
        <v>4</v>
      </c>
      <c r="F2307" s="12">
        <v>167890</v>
      </c>
      <c r="G2307" s="12">
        <v>167890</v>
      </c>
      <c r="H2307" s="11" t="str">
        <f t="shared" si="4"/>
        <v>平成6年3月31日</v>
      </c>
      <c r="I2307" s="22">
        <f t="shared" si="75"/>
        <v>34424</v>
      </c>
      <c r="J2307" s="1" t="str">
        <f>"00746683"</f>
        <v>00746683</v>
      </c>
      <c r="K2307" s="1" t="str">
        <f>"３１０　　　　　　　　　　　　　　　　　"</f>
        <v>３１０　　　　　　　　　　　　　　　　　</v>
      </c>
      <c r="L2307" s="1"/>
    </row>
    <row r="2308" spans="1:12" ht="18" customHeight="1" x14ac:dyDescent="0.15">
      <c r="A2308" s="11">
        <v>4825</v>
      </c>
      <c r="B2308" s="11" t="s">
        <v>471</v>
      </c>
      <c r="C2308" s="11" t="s">
        <v>472</v>
      </c>
      <c r="D2308" s="11">
        <v>1</v>
      </c>
      <c r="E2308" s="11" t="s">
        <v>4</v>
      </c>
      <c r="F2308" s="12">
        <v>167890</v>
      </c>
      <c r="G2308" s="12">
        <v>167890</v>
      </c>
      <c r="H2308" s="11" t="str">
        <f t="shared" si="4"/>
        <v>平成6年3月31日</v>
      </c>
      <c r="I2308" s="22">
        <f t="shared" si="75"/>
        <v>34424</v>
      </c>
      <c r="J2308" s="1" t="str">
        <f>"00746685"</f>
        <v>00746685</v>
      </c>
      <c r="K2308" s="1" t="str">
        <f>"３１１　　　　　　　　　　　　　　　　　"</f>
        <v>３１１　　　　　　　　　　　　　　　　　</v>
      </c>
      <c r="L2308" s="1"/>
    </row>
    <row r="2309" spans="1:12" ht="18" customHeight="1" x14ac:dyDescent="0.15">
      <c r="A2309" s="11">
        <v>4826</v>
      </c>
      <c r="B2309" s="11" t="s">
        <v>471</v>
      </c>
      <c r="C2309" s="11" t="s">
        <v>472</v>
      </c>
      <c r="D2309" s="11">
        <v>1</v>
      </c>
      <c r="E2309" s="11" t="s">
        <v>4</v>
      </c>
      <c r="F2309" s="12">
        <v>167890</v>
      </c>
      <c r="G2309" s="12">
        <v>167890</v>
      </c>
      <c r="H2309" s="11" t="str">
        <f t="shared" si="4"/>
        <v>平成6年3月31日</v>
      </c>
      <c r="I2309" s="22">
        <f t="shared" si="75"/>
        <v>34424</v>
      </c>
      <c r="J2309" s="1" t="str">
        <f>"00746695"</f>
        <v>00746695</v>
      </c>
      <c r="K2309" s="1" t="str">
        <f>"３１６　　　　　　　　　　　　　　　　　"</f>
        <v>３１６　　　　　　　　　　　　　　　　　</v>
      </c>
      <c r="L2309" s="1"/>
    </row>
    <row r="2310" spans="1:12" ht="18" customHeight="1" x14ac:dyDescent="0.15">
      <c r="A2310" s="11">
        <v>4827</v>
      </c>
      <c r="B2310" s="11" t="s">
        <v>471</v>
      </c>
      <c r="C2310" s="11" t="s">
        <v>473</v>
      </c>
      <c r="D2310" s="11">
        <v>1</v>
      </c>
      <c r="E2310" s="11" t="s">
        <v>4</v>
      </c>
      <c r="F2310" s="12">
        <v>112476</v>
      </c>
      <c r="G2310" s="12">
        <v>112476</v>
      </c>
      <c r="H2310" s="11" t="str">
        <f t="shared" si="4"/>
        <v>平成6年3月31日</v>
      </c>
      <c r="I2310" s="22">
        <f t="shared" si="75"/>
        <v>34424</v>
      </c>
      <c r="J2310" s="1" t="str">
        <f>"00746697"</f>
        <v>00746697</v>
      </c>
      <c r="K2310" s="1" t="str">
        <f>"３１７　　　　　　　　　　　　　　　　　"</f>
        <v>３１７　　　　　　　　　　　　　　　　　</v>
      </c>
      <c r="L2310" s="1"/>
    </row>
    <row r="2311" spans="1:12" ht="18" customHeight="1" x14ac:dyDescent="0.15">
      <c r="A2311" s="11">
        <v>4828</v>
      </c>
      <c r="B2311" s="11" t="s">
        <v>471</v>
      </c>
      <c r="C2311" s="11" t="s">
        <v>473</v>
      </c>
      <c r="D2311" s="11">
        <v>1</v>
      </c>
      <c r="E2311" s="11" t="s">
        <v>4</v>
      </c>
      <c r="F2311" s="12">
        <v>112476</v>
      </c>
      <c r="G2311" s="12">
        <v>112476</v>
      </c>
      <c r="H2311" s="11" t="str">
        <f t="shared" si="4"/>
        <v>平成6年3月31日</v>
      </c>
      <c r="I2311" s="22">
        <f t="shared" si="75"/>
        <v>34424</v>
      </c>
      <c r="J2311" s="1" t="str">
        <f>"00746699"</f>
        <v>00746699</v>
      </c>
      <c r="K2311" s="1" t="str">
        <f>"３１８　　　　　　　　　　　　　　　　　"</f>
        <v>３１８　　　　　　　　　　　　　　　　　</v>
      </c>
      <c r="L2311" s="1"/>
    </row>
    <row r="2312" spans="1:12" ht="18" customHeight="1" x14ac:dyDescent="0.15">
      <c r="A2312" s="11">
        <v>4829</v>
      </c>
      <c r="B2312" s="11" t="s">
        <v>471</v>
      </c>
      <c r="C2312" s="11" t="s">
        <v>473</v>
      </c>
      <c r="D2312" s="11">
        <v>1</v>
      </c>
      <c r="E2312" s="11" t="s">
        <v>4</v>
      </c>
      <c r="F2312" s="12">
        <v>112476</v>
      </c>
      <c r="G2312" s="12">
        <v>112476</v>
      </c>
      <c r="H2312" s="11" t="str">
        <f t="shared" si="4"/>
        <v>平成6年3月31日</v>
      </c>
      <c r="I2312" s="22">
        <f t="shared" si="75"/>
        <v>34424</v>
      </c>
      <c r="J2312" s="1" t="str">
        <f>"00746701"</f>
        <v>00746701</v>
      </c>
      <c r="K2312" s="1" t="str">
        <f>"３１９　　　　　　　　　　　　　　　　　"</f>
        <v>３１９　　　　　　　　　　　　　　　　　</v>
      </c>
      <c r="L2312" s="1"/>
    </row>
    <row r="2313" spans="1:12" ht="18" customHeight="1" x14ac:dyDescent="0.15">
      <c r="A2313" s="11">
        <v>4830</v>
      </c>
      <c r="B2313" s="11" t="s">
        <v>471</v>
      </c>
      <c r="C2313" s="11" t="s">
        <v>473</v>
      </c>
      <c r="D2313" s="11">
        <v>1</v>
      </c>
      <c r="E2313" s="11" t="s">
        <v>4</v>
      </c>
      <c r="F2313" s="12">
        <v>112476</v>
      </c>
      <c r="G2313" s="12">
        <v>112476</v>
      </c>
      <c r="H2313" s="11" t="str">
        <f t="shared" si="4"/>
        <v>平成6年3月31日</v>
      </c>
      <c r="I2313" s="22">
        <f t="shared" si="75"/>
        <v>34424</v>
      </c>
      <c r="J2313" s="1" t="str">
        <f>"00746703"</f>
        <v>00746703</v>
      </c>
      <c r="K2313" s="1" t="str">
        <f>"３２０　　　　　　　　　　　　　　　　　"</f>
        <v>３２０　　　　　　　　　　　　　　　　　</v>
      </c>
      <c r="L2313" s="1"/>
    </row>
    <row r="2314" spans="1:12" ht="18" customHeight="1" x14ac:dyDescent="0.15">
      <c r="A2314" s="11">
        <v>4831</v>
      </c>
      <c r="B2314" s="11" t="s">
        <v>471</v>
      </c>
      <c r="C2314" s="11" t="s">
        <v>473</v>
      </c>
      <c r="D2314" s="11">
        <v>1</v>
      </c>
      <c r="E2314" s="11" t="s">
        <v>4</v>
      </c>
      <c r="F2314" s="12">
        <v>112476</v>
      </c>
      <c r="G2314" s="12">
        <v>112476</v>
      </c>
      <c r="H2314" s="11" t="str">
        <f t="shared" si="4"/>
        <v>平成6年3月31日</v>
      </c>
      <c r="I2314" s="22">
        <f t="shared" si="75"/>
        <v>34424</v>
      </c>
      <c r="J2314" s="1" t="str">
        <f>"00746705"</f>
        <v>00746705</v>
      </c>
      <c r="K2314" s="1" t="str">
        <f>"３２１　　　　　　　　　　　　　　　　　"</f>
        <v>３２１　　　　　　　　　　　　　　　　　</v>
      </c>
      <c r="L2314" s="1"/>
    </row>
    <row r="2315" spans="1:12" ht="18" customHeight="1" x14ac:dyDescent="0.15">
      <c r="A2315" s="11">
        <v>4832</v>
      </c>
      <c r="B2315" s="11" t="s">
        <v>471</v>
      </c>
      <c r="C2315" s="11" t="s">
        <v>473</v>
      </c>
      <c r="D2315" s="11">
        <v>1</v>
      </c>
      <c r="E2315" s="11" t="s">
        <v>4</v>
      </c>
      <c r="F2315" s="12">
        <v>112476</v>
      </c>
      <c r="G2315" s="12">
        <v>112476</v>
      </c>
      <c r="H2315" s="11" t="str">
        <f t="shared" si="4"/>
        <v>平成6年3月31日</v>
      </c>
      <c r="I2315" s="22">
        <f t="shared" si="75"/>
        <v>34424</v>
      </c>
      <c r="J2315" s="1" t="str">
        <f>"00746707"</f>
        <v>00746707</v>
      </c>
      <c r="K2315" s="1" t="str">
        <f>"３２２　　　　　　　　　　　　　　　　　"</f>
        <v>３２２　　　　　　　　　　　　　　　　　</v>
      </c>
      <c r="L2315" s="1"/>
    </row>
    <row r="2316" spans="1:12" ht="18" customHeight="1" x14ac:dyDescent="0.15">
      <c r="A2316" s="11">
        <v>4877</v>
      </c>
      <c r="B2316" s="11" t="s">
        <v>495</v>
      </c>
      <c r="C2316" s="11" t="s">
        <v>227</v>
      </c>
      <c r="D2316" s="11">
        <v>1</v>
      </c>
      <c r="E2316" s="11" t="s">
        <v>4</v>
      </c>
      <c r="F2316" s="12">
        <v>206000</v>
      </c>
      <c r="G2316" s="12">
        <v>206000</v>
      </c>
      <c r="H2316" s="11" t="str">
        <f t="shared" si="4"/>
        <v>平成6年3月31日</v>
      </c>
      <c r="I2316" s="22">
        <f t="shared" si="75"/>
        <v>34424</v>
      </c>
      <c r="J2316" s="1" t="str">
        <f>"00746917"</f>
        <v>00746917</v>
      </c>
      <c r="K2316" s="1" t="str">
        <f>"１　　　　　　　　　　　　　　　　　　　"</f>
        <v>１　　　　　　　　　　　　　　　　　　　</v>
      </c>
      <c r="L2316" s="1"/>
    </row>
    <row r="2317" spans="1:12" ht="18" customHeight="1" x14ac:dyDescent="0.15">
      <c r="A2317" s="1">
        <v>4940</v>
      </c>
      <c r="B2317" s="43" t="s">
        <v>502</v>
      </c>
      <c r="C2317" s="43" t="s">
        <v>514</v>
      </c>
      <c r="D2317" s="43">
        <v>1</v>
      </c>
      <c r="E2317" s="43" t="s">
        <v>61</v>
      </c>
      <c r="F2317" s="44">
        <v>70040</v>
      </c>
      <c r="G2317" s="44" t="s">
        <v>671</v>
      </c>
      <c r="H2317" s="43" t="str">
        <f t="shared" si="4"/>
        <v>平成6年3月31日</v>
      </c>
      <c r="I2317" s="22">
        <f t="shared" si="75"/>
        <v>34424</v>
      </c>
      <c r="J2317" s="43" t="str">
        <f>"00747085"</f>
        <v>00747085</v>
      </c>
      <c r="K2317" s="43" t="str">
        <f>"３７８　　　　　　　　　　　　　　　　　"</f>
        <v>３７８　　　　　　　　　　　　　　　　　</v>
      </c>
      <c r="L2317" s="43" t="s">
        <v>645</v>
      </c>
    </row>
    <row r="2318" spans="1:12" ht="18" customHeight="1" x14ac:dyDescent="0.15">
      <c r="A2318" s="1">
        <v>4941</v>
      </c>
      <c r="B2318" s="43" t="s">
        <v>502</v>
      </c>
      <c r="C2318" s="43" t="s">
        <v>514</v>
      </c>
      <c r="D2318" s="43">
        <v>1</v>
      </c>
      <c r="E2318" s="43" t="s">
        <v>61</v>
      </c>
      <c r="F2318" s="44">
        <v>70040</v>
      </c>
      <c r="G2318" s="44" t="s">
        <v>671</v>
      </c>
      <c r="H2318" s="43" t="str">
        <f t="shared" si="4"/>
        <v>平成6年3月31日</v>
      </c>
      <c r="I2318" s="22">
        <f t="shared" si="75"/>
        <v>34424</v>
      </c>
      <c r="J2318" s="43" t="str">
        <f>"00747087"</f>
        <v>00747087</v>
      </c>
      <c r="K2318" s="43" t="str">
        <f>"３７９　　　　　　　　　　　　　　　　　"</f>
        <v>３７９　　　　　　　　　　　　　　　　　</v>
      </c>
      <c r="L2318" s="43" t="s">
        <v>645</v>
      </c>
    </row>
    <row r="2319" spans="1:12" ht="18" customHeight="1" x14ac:dyDescent="0.15">
      <c r="A2319" s="11">
        <v>90</v>
      </c>
      <c r="B2319" s="11" t="s">
        <v>62</v>
      </c>
      <c r="C2319" s="11" t="s">
        <v>106</v>
      </c>
      <c r="D2319" s="11">
        <v>1</v>
      </c>
      <c r="E2319" s="11" t="s">
        <v>4</v>
      </c>
      <c r="F2319" s="12">
        <v>909000</v>
      </c>
      <c r="G2319" s="12">
        <v>909000</v>
      </c>
      <c r="H2319" s="11" t="str">
        <f t="shared" ref="H2319:H2382" si="76">"平成6年9月14日"</f>
        <v>平成6年9月14日</v>
      </c>
      <c r="I2319" s="22">
        <f t="shared" si="75"/>
        <v>34591</v>
      </c>
      <c r="J2319" s="1" t="str">
        <f>"00736259"</f>
        <v>00736259</v>
      </c>
      <c r="K2319" s="1" t="str">
        <f>"３８６　　　　　　　　　　　　　　　　　"</f>
        <v>３８６　　　　　　　　　　　　　　　　　</v>
      </c>
      <c r="L2319" s="1"/>
    </row>
    <row r="2320" spans="1:12" ht="18" customHeight="1" x14ac:dyDescent="0.15">
      <c r="A2320" s="11">
        <v>91</v>
      </c>
      <c r="B2320" s="11" t="s">
        <v>62</v>
      </c>
      <c r="C2320" s="11" t="s">
        <v>106</v>
      </c>
      <c r="D2320" s="11">
        <v>1</v>
      </c>
      <c r="E2320" s="11" t="s">
        <v>4</v>
      </c>
      <c r="F2320" s="12">
        <v>389000</v>
      </c>
      <c r="G2320" s="12">
        <v>389000</v>
      </c>
      <c r="H2320" s="11" t="str">
        <f t="shared" si="76"/>
        <v>平成6年9月14日</v>
      </c>
      <c r="I2320" s="22">
        <f t="shared" si="75"/>
        <v>34591</v>
      </c>
      <c r="J2320" s="1" t="str">
        <f>"00736262"</f>
        <v>00736262</v>
      </c>
      <c r="K2320" s="1" t="str">
        <f>"３８７　　　　　　　　　　　　　　　　　"</f>
        <v>３８７　　　　　　　　　　　　　　　　　</v>
      </c>
      <c r="L2320" s="1"/>
    </row>
    <row r="2321" spans="1:12" ht="18" customHeight="1" x14ac:dyDescent="0.15">
      <c r="A2321" s="11">
        <v>92</v>
      </c>
      <c r="B2321" s="11" t="s">
        <v>62</v>
      </c>
      <c r="C2321" s="11" t="s">
        <v>108</v>
      </c>
      <c r="D2321" s="11">
        <v>1</v>
      </c>
      <c r="E2321" s="11" t="s">
        <v>4</v>
      </c>
      <c r="F2321" s="12">
        <v>29500</v>
      </c>
      <c r="G2321" s="12">
        <v>29500</v>
      </c>
      <c r="H2321" s="11" t="str">
        <f t="shared" si="76"/>
        <v>平成6年9月14日</v>
      </c>
      <c r="I2321" s="22">
        <f t="shared" si="75"/>
        <v>34591</v>
      </c>
      <c r="J2321" s="1" t="str">
        <f>"00736265"</f>
        <v>00736265</v>
      </c>
      <c r="K2321" s="1" t="str">
        <f>"３８８　　　　　　　　　　　　　　　　　"</f>
        <v>３８８　　　　　　　　　　　　　　　　　</v>
      </c>
      <c r="L2321" s="1"/>
    </row>
    <row r="2322" spans="1:12" ht="18" customHeight="1" x14ac:dyDescent="0.15">
      <c r="A2322" s="11">
        <v>93</v>
      </c>
      <c r="B2322" s="11" t="s">
        <v>62</v>
      </c>
      <c r="C2322" s="11" t="s">
        <v>108</v>
      </c>
      <c r="D2322" s="11">
        <v>1</v>
      </c>
      <c r="E2322" s="11" t="s">
        <v>4</v>
      </c>
      <c r="F2322" s="12">
        <v>29500</v>
      </c>
      <c r="G2322" s="12">
        <v>29500</v>
      </c>
      <c r="H2322" s="11" t="str">
        <f t="shared" si="76"/>
        <v>平成6年9月14日</v>
      </c>
      <c r="I2322" s="22">
        <f t="shared" ref="I2322:I2385" si="77">DATEVALUE(H2322)</f>
        <v>34591</v>
      </c>
      <c r="J2322" s="1" t="str">
        <f>"00736268"</f>
        <v>00736268</v>
      </c>
      <c r="K2322" s="1" t="str">
        <f>"３８９　　　　　　　　　　　　　　　　　"</f>
        <v>３８９　　　　　　　　　　　　　　　　　</v>
      </c>
      <c r="L2322" s="1"/>
    </row>
    <row r="2323" spans="1:12" ht="18" customHeight="1" x14ac:dyDescent="0.15">
      <c r="A2323" s="11">
        <v>94</v>
      </c>
      <c r="B2323" s="11" t="s">
        <v>62</v>
      </c>
      <c r="C2323" s="11" t="s">
        <v>108</v>
      </c>
      <c r="D2323" s="11">
        <v>1</v>
      </c>
      <c r="E2323" s="11" t="s">
        <v>4</v>
      </c>
      <c r="F2323" s="12">
        <v>29500</v>
      </c>
      <c r="G2323" s="12">
        <v>29500</v>
      </c>
      <c r="H2323" s="11" t="str">
        <f t="shared" si="76"/>
        <v>平成6年9月14日</v>
      </c>
      <c r="I2323" s="22">
        <f t="shared" si="77"/>
        <v>34591</v>
      </c>
      <c r="J2323" s="1" t="str">
        <f>"00736271"</f>
        <v>00736271</v>
      </c>
      <c r="K2323" s="1" t="str">
        <f>"３９０　　　　　　　　　　　　　　　　　"</f>
        <v>３９０　　　　　　　　　　　　　　　　　</v>
      </c>
      <c r="L2323" s="1"/>
    </row>
    <row r="2324" spans="1:12" ht="18" customHeight="1" x14ac:dyDescent="0.15">
      <c r="A2324" s="11">
        <v>95</v>
      </c>
      <c r="B2324" s="11" t="s">
        <v>62</v>
      </c>
      <c r="C2324" s="11" t="s">
        <v>108</v>
      </c>
      <c r="D2324" s="11">
        <v>1</v>
      </c>
      <c r="E2324" s="11" t="s">
        <v>4</v>
      </c>
      <c r="F2324" s="12">
        <v>29500</v>
      </c>
      <c r="G2324" s="12">
        <v>29500</v>
      </c>
      <c r="H2324" s="11" t="str">
        <f t="shared" si="76"/>
        <v>平成6年9月14日</v>
      </c>
      <c r="I2324" s="22">
        <f t="shared" si="77"/>
        <v>34591</v>
      </c>
      <c r="J2324" s="1" t="str">
        <f>"00736274"</f>
        <v>00736274</v>
      </c>
      <c r="K2324" s="1" t="str">
        <f>"３９１　　　　　　　　　　　　　　　　　"</f>
        <v>３９１　　　　　　　　　　　　　　　　　</v>
      </c>
      <c r="L2324" s="1"/>
    </row>
    <row r="2325" spans="1:12" ht="18" customHeight="1" x14ac:dyDescent="0.15">
      <c r="A2325" s="11">
        <v>96</v>
      </c>
      <c r="B2325" s="11" t="s">
        <v>62</v>
      </c>
      <c r="C2325" s="11" t="s">
        <v>108</v>
      </c>
      <c r="D2325" s="11">
        <v>1</v>
      </c>
      <c r="E2325" s="11" t="s">
        <v>4</v>
      </c>
      <c r="F2325" s="12">
        <v>29500</v>
      </c>
      <c r="G2325" s="12">
        <v>29500</v>
      </c>
      <c r="H2325" s="11" t="str">
        <f t="shared" si="76"/>
        <v>平成6年9月14日</v>
      </c>
      <c r="I2325" s="22">
        <f t="shared" si="77"/>
        <v>34591</v>
      </c>
      <c r="J2325" s="1" t="str">
        <f>"00736277"</f>
        <v>00736277</v>
      </c>
      <c r="K2325" s="1" t="str">
        <f>"３９２　　　　　　　　　　　　　　　　　"</f>
        <v>３９２　　　　　　　　　　　　　　　　　</v>
      </c>
      <c r="L2325" s="1"/>
    </row>
    <row r="2326" spans="1:12" ht="18" customHeight="1" x14ac:dyDescent="0.15">
      <c r="A2326" s="11">
        <v>97</v>
      </c>
      <c r="B2326" s="11" t="s">
        <v>62</v>
      </c>
      <c r="C2326" s="11" t="s">
        <v>108</v>
      </c>
      <c r="D2326" s="11">
        <v>1</v>
      </c>
      <c r="E2326" s="11" t="s">
        <v>4</v>
      </c>
      <c r="F2326" s="12">
        <v>29500</v>
      </c>
      <c r="G2326" s="12">
        <v>29500</v>
      </c>
      <c r="H2326" s="11" t="str">
        <f t="shared" si="76"/>
        <v>平成6年9月14日</v>
      </c>
      <c r="I2326" s="22">
        <f t="shared" si="77"/>
        <v>34591</v>
      </c>
      <c r="J2326" s="1" t="str">
        <f>"00736280"</f>
        <v>00736280</v>
      </c>
      <c r="K2326" s="1" t="str">
        <f>"３９３　　　　　　　　　　　　　　　　　"</f>
        <v>３９３　　　　　　　　　　　　　　　　　</v>
      </c>
      <c r="L2326" s="1"/>
    </row>
    <row r="2327" spans="1:12" ht="18" customHeight="1" x14ac:dyDescent="0.15">
      <c r="A2327" s="11">
        <v>98</v>
      </c>
      <c r="B2327" s="11" t="s">
        <v>62</v>
      </c>
      <c r="C2327" s="11" t="s">
        <v>108</v>
      </c>
      <c r="D2327" s="11">
        <v>1</v>
      </c>
      <c r="E2327" s="11" t="s">
        <v>4</v>
      </c>
      <c r="F2327" s="12">
        <v>29500</v>
      </c>
      <c r="G2327" s="12">
        <v>29500</v>
      </c>
      <c r="H2327" s="11" t="str">
        <f t="shared" si="76"/>
        <v>平成6年9月14日</v>
      </c>
      <c r="I2327" s="22">
        <f t="shared" si="77"/>
        <v>34591</v>
      </c>
      <c r="J2327" s="1" t="str">
        <f>"00736283"</f>
        <v>00736283</v>
      </c>
      <c r="K2327" s="1" t="str">
        <f>"３９４　　　　　　　　　　　　　　　　　"</f>
        <v>３９４　　　　　　　　　　　　　　　　　</v>
      </c>
      <c r="L2327" s="1"/>
    </row>
    <row r="2328" spans="1:12" ht="18" customHeight="1" x14ac:dyDescent="0.15">
      <c r="A2328" s="11">
        <v>99</v>
      </c>
      <c r="B2328" s="11" t="s">
        <v>62</v>
      </c>
      <c r="C2328" s="11" t="s">
        <v>108</v>
      </c>
      <c r="D2328" s="11">
        <v>1</v>
      </c>
      <c r="E2328" s="11" t="s">
        <v>4</v>
      </c>
      <c r="F2328" s="12">
        <v>29500</v>
      </c>
      <c r="G2328" s="12">
        <v>29500</v>
      </c>
      <c r="H2328" s="11" t="str">
        <f t="shared" si="76"/>
        <v>平成6年9月14日</v>
      </c>
      <c r="I2328" s="22">
        <f t="shared" si="77"/>
        <v>34591</v>
      </c>
      <c r="J2328" s="1" t="str">
        <f>"00736286"</f>
        <v>00736286</v>
      </c>
      <c r="K2328" s="1" t="str">
        <f>"３９５　　　　　　　　　　　　　　　　　"</f>
        <v>３９５　　　　　　　　　　　　　　　　　</v>
      </c>
      <c r="L2328" s="1"/>
    </row>
    <row r="2329" spans="1:12" ht="18" customHeight="1" x14ac:dyDescent="0.15">
      <c r="A2329" s="11">
        <v>100</v>
      </c>
      <c r="B2329" s="11" t="s">
        <v>62</v>
      </c>
      <c r="C2329" s="11" t="s">
        <v>108</v>
      </c>
      <c r="D2329" s="11">
        <v>1</v>
      </c>
      <c r="E2329" s="11" t="s">
        <v>4</v>
      </c>
      <c r="F2329" s="12">
        <v>29500</v>
      </c>
      <c r="G2329" s="12">
        <v>29500</v>
      </c>
      <c r="H2329" s="11" t="str">
        <f t="shared" si="76"/>
        <v>平成6年9月14日</v>
      </c>
      <c r="I2329" s="22">
        <f t="shared" si="77"/>
        <v>34591</v>
      </c>
      <c r="J2329" s="1" t="str">
        <f>"00736289"</f>
        <v>00736289</v>
      </c>
      <c r="K2329" s="1" t="str">
        <f>"３９６　　　　　　　　　　　　　　　　　"</f>
        <v>３９６　　　　　　　　　　　　　　　　　</v>
      </c>
      <c r="L2329" s="1"/>
    </row>
    <row r="2330" spans="1:12" ht="18" customHeight="1" x14ac:dyDescent="0.15">
      <c r="A2330" s="11">
        <v>101</v>
      </c>
      <c r="B2330" s="11" t="s">
        <v>62</v>
      </c>
      <c r="C2330" s="11" t="s">
        <v>108</v>
      </c>
      <c r="D2330" s="11">
        <v>1</v>
      </c>
      <c r="E2330" s="11" t="s">
        <v>4</v>
      </c>
      <c r="F2330" s="12">
        <v>29500</v>
      </c>
      <c r="G2330" s="12">
        <v>29500</v>
      </c>
      <c r="H2330" s="11" t="str">
        <f t="shared" si="76"/>
        <v>平成6年9月14日</v>
      </c>
      <c r="I2330" s="22">
        <f t="shared" si="77"/>
        <v>34591</v>
      </c>
      <c r="J2330" s="1" t="str">
        <f>"00736292"</f>
        <v>00736292</v>
      </c>
      <c r="K2330" s="1" t="str">
        <f>"３９７　　　　　　　　　　　　　　　　　"</f>
        <v>３９７　　　　　　　　　　　　　　　　　</v>
      </c>
      <c r="L2330" s="1"/>
    </row>
    <row r="2331" spans="1:12" ht="18" customHeight="1" x14ac:dyDescent="0.15">
      <c r="A2331" s="11">
        <v>102</v>
      </c>
      <c r="B2331" s="11" t="s">
        <v>62</v>
      </c>
      <c r="C2331" s="11" t="s">
        <v>108</v>
      </c>
      <c r="D2331" s="11">
        <v>1</v>
      </c>
      <c r="E2331" s="11" t="s">
        <v>4</v>
      </c>
      <c r="F2331" s="12">
        <v>29500</v>
      </c>
      <c r="G2331" s="12">
        <v>29500</v>
      </c>
      <c r="H2331" s="11" t="str">
        <f t="shared" si="76"/>
        <v>平成6年9月14日</v>
      </c>
      <c r="I2331" s="22">
        <f t="shared" si="77"/>
        <v>34591</v>
      </c>
      <c r="J2331" s="1" t="str">
        <f>"00736295"</f>
        <v>00736295</v>
      </c>
      <c r="K2331" s="1" t="str">
        <f>"３９８　　　　　　　　　　　　　　　　　"</f>
        <v>３９８　　　　　　　　　　　　　　　　　</v>
      </c>
      <c r="L2331" s="1"/>
    </row>
    <row r="2332" spans="1:12" ht="18" customHeight="1" x14ac:dyDescent="0.15">
      <c r="A2332" s="11">
        <v>103</v>
      </c>
      <c r="B2332" s="11" t="s">
        <v>62</v>
      </c>
      <c r="C2332" s="11" t="s">
        <v>108</v>
      </c>
      <c r="D2332" s="11">
        <v>1</v>
      </c>
      <c r="E2332" s="11" t="s">
        <v>4</v>
      </c>
      <c r="F2332" s="12">
        <v>29500</v>
      </c>
      <c r="G2332" s="12">
        <v>29500</v>
      </c>
      <c r="H2332" s="11" t="str">
        <f t="shared" si="76"/>
        <v>平成6年9月14日</v>
      </c>
      <c r="I2332" s="22">
        <f t="shared" si="77"/>
        <v>34591</v>
      </c>
      <c r="J2332" s="1" t="str">
        <f>"00736298"</f>
        <v>00736298</v>
      </c>
      <c r="K2332" s="1" t="str">
        <f>"３９９　　　　　　　　　　　　　　　　　"</f>
        <v>３９９　　　　　　　　　　　　　　　　　</v>
      </c>
      <c r="L2332" s="1"/>
    </row>
    <row r="2333" spans="1:12" ht="18" customHeight="1" x14ac:dyDescent="0.15">
      <c r="A2333" s="11">
        <v>104</v>
      </c>
      <c r="B2333" s="11" t="s">
        <v>62</v>
      </c>
      <c r="C2333" s="11" t="s">
        <v>108</v>
      </c>
      <c r="D2333" s="11">
        <v>1</v>
      </c>
      <c r="E2333" s="11" t="s">
        <v>4</v>
      </c>
      <c r="F2333" s="12">
        <v>29500</v>
      </c>
      <c r="G2333" s="12">
        <v>29500</v>
      </c>
      <c r="H2333" s="11" t="str">
        <f t="shared" si="76"/>
        <v>平成6年9月14日</v>
      </c>
      <c r="I2333" s="22">
        <f t="shared" si="77"/>
        <v>34591</v>
      </c>
      <c r="J2333" s="1" t="str">
        <f>"00736300"</f>
        <v>00736300</v>
      </c>
      <c r="K2333" s="1" t="str">
        <f>"４００　　　　　　　　　　　　　　　　　"</f>
        <v>４００　　　　　　　　　　　　　　　　　</v>
      </c>
      <c r="L2333" s="1"/>
    </row>
    <row r="2334" spans="1:12" ht="18" customHeight="1" x14ac:dyDescent="0.15">
      <c r="A2334" s="11">
        <v>105</v>
      </c>
      <c r="B2334" s="11" t="s">
        <v>62</v>
      </c>
      <c r="C2334" s="11" t="s">
        <v>108</v>
      </c>
      <c r="D2334" s="11">
        <v>1</v>
      </c>
      <c r="E2334" s="11" t="s">
        <v>4</v>
      </c>
      <c r="F2334" s="12">
        <v>29500</v>
      </c>
      <c r="G2334" s="12">
        <v>29500</v>
      </c>
      <c r="H2334" s="11" t="str">
        <f t="shared" si="76"/>
        <v>平成6年9月14日</v>
      </c>
      <c r="I2334" s="22">
        <f t="shared" si="77"/>
        <v>34591</v>
      </c>
      <c r="J2334" s="1" t="str">
        <f>"00736303"</f>
        <v>00736303</v>
      </c>
      <c r="K2334" s="1" t="str">
        <f>"４０１　　　　　　　　　　　　　　　　　"</f>
        <v>４０１　　　　　　　　　　　　　　　　　</v>
      </c>
      <c r="L2334" s="1"/>
    </row>
    <row r="2335" spans="1:12" ht="18" customHeight="1" x14ac:dyDescent="0.15">
      <c r="A2335" s="11">
        <v>136</v>
      </c>
      <c r="B2335" s="11" t="s">
        <v>52</v>
      </c>
      <c r="C2335" s="11" t="s">
        <v>116</v>
      </c>
      <c r="D2335" s="11">
        <v>1</v>
      </c>
      <c r="E2335" s="11" t="s">
        <v>4</v>
      </c>
      <c r="F2335" s="12">
        <v>27650</v>
      </c>
      <c r="G2335" s="12">
        <v>27650</v>
      </c>
      <c r="H2335" s="11" t="str">
        <f t="shared" si="76"/>
        <v>平成6年9月14日</v>
      </c>
      <c r="I2335" s="22">
        <f t="shared" si="77"/>
        <v>34591</v>
      </c>
      <c r="J2335" s="1" t="str">
        <f>"00736408"</f>
        <v>00736408</v>
      </c>
      <c r="K2335" s="1" t="str">
        <f>"３０２　　　　　　　　　　　　　　　　　"</f>
        <v>３０２　　　　　　　　　　　　　　　　　</v>
      </c>
      <c r="L2335" s="1"/>
    </row>
    <row r="2336" spans="1:12" ht="18" customHeight="1" x14ac:dyDescent="0.15">
      <c r="A2336" s="11">
        <v>137</v>
      </c>
      <c r="B2336" s="11" t="s">
        <v>52</v>
      </c>
      <c r="C2336" s="11" t="s">
        <v>116</v>
      </c>
      <c r="D2336" s="11">
        <v>1</v>
      </c>
      <c r="E2336" s="11" t="s">
        <v>4</v>
      </c>
      <c r="F2336" s="12">
        <v>27650</v>
      </c>
      <c r="G2336" s="12">
        <v>27650</v>
      </c>
      <c r="H2336" s="11" t="str">
        <f t="shared" si="76"/>
        <v>平成6年9月14日</v>
      </c>
      <c r="I2336" s="22">
        <f t="shared" si="77"/>
        <v>34591</v>
      </c>
      <c r="J2336" s="1" t="str">
        <f>"00736411"</f>
        <v>00736411</v>
      </c>
      <c r="K2336" s="1" t="str">
        <f>"３０３　　　　　　　　　　　　　　　　　"</f>
        <v>３０３　　　　　　　　　　　　　　　　　</v>
      </c>
      <c r="L2336" s="1"/>
    </row>
    <row r="2337" spans="1:12" ht="18" customHeight="1" x14ac:dyDescent="0.15">
      <c r="A2337" s="11">
        <v>138</v>
      </c>
      <c r="B2337" s="11" t="s">
        <v>52</v>
      </c>
      <c r="C2337" s="11" t="s">
        <v>116</v>
      </c>
      <c r="D2337" s="11">
        <v>1</v>
      </c>
      <c r="E2337" s="11" t="s">
        <v>4</v>
      </c>
      <c r="F2337" s="12">
        <v>27650</v>
      </c>
      <c r="G2337" s="12">
        <v>27650</v>
      </c>
      <c r="H2337" s="11" t="str">
        <f t="shared" si="76"/>
        <v>平成6年9月14日</v>
      </c>
      <c r="I2337" s="22">
        <f t="shared" si="77"/>
        <v>34591</v>
      </c>
      <c r="J2337" s="1" t="str">
        <f>"00736414"</f>
        <v>00736414</v>
      </c>
      <c r="K2337" s="1" t="str">
        <f>"３０４　　　　　　　　　　　　　　　　　"</f>
        <v>３０４　　　　　　　　　　　　　　　　　</v>
      </c>
      <c r="L2337" s="1"/>
    </row>
    <row r="2338" spans="1:12" ht="18" customHeight="1" x14ac:dyDescent="0.15">
      <c r="A2338" s="11">
        <v>139</v>
      </c>
      <c r="B2338" s="11" t="s">
        <v>52</v>
      </c>
      <c r="C2338" s="11" t="s">
        <v>116</v>
      </c>
      <c r="D2338" s="11">
        <v>1</v>
      </c>
      <c r="E2338" s="11" t="s">
        <v>4</v>
      </c>
      <c r="F2338" s="12">
        <v>27650</v>
      </c>
      <c r="G2338" s="12">
        <v>27650</v>
      </c>
      <c r="H2338" s="11" t="str">
        <f t="shared" si="76"/>
        <v>平成6年9月14日</v>
      </c>
      <c r="I2338" s="22">
        <f t="shared" si="77"/>
        <v>34591</v>
      </c>
      <c r="J2338" s="1" t="str">
        <f>"00736417"</f>
        <v>00736417</v>
      </c>
      <c r="K2338" s="1" t="str">
        <f>"３０５　　　　　　　　　　　　　　　　　"</f>
        <v>３０５　　　　　　　　　　　　　　　　　</v>
      </c>
      <c r="L2338" s="1"/>
    </row>
    <row r="2339" spans="1:12" ht="18" customHeight="1" x14ac:dyDescent="0.15">
      <c r="A2339" s="11">
        <v>177</v>
      </c>
      <c r="B2339" s="11" t="s">
        <v>63</v>
      </c>
      <c r="C2339" s="11" t="s">
        <v>64</v>
      </c>
      <c r="D2339" s="11">
        <v>1</v>
      </c>
      <c r="E2339" s="11" t="s">
        <v>4</v>
      </c>
      <c r="F2339" s="12">
        <v>170000</v>
      </c>
      <c r="G2339" s="12">
        <v>170000</v>
      </c>
      <c r="H2339" s="11" t="str">
        <f t="shared" si="76"/>
        <v>平成6年9月14日</v>
      </c>
      <c r="I2339" s="22">
        <f t="shared" si="77"/>
        <v>34591</v>
      </c>
      <c r="J2339" s="1" t="str">
        <f>"00736531"</f>
        <v>00736531</v>
      </c>
      <c r="K2339" s="1" t="str">
        <f>"３６３　　　　　　　　　　　　　　　　　"</f>
        <v>３６３　　　　　　　　　　　　　　　　　</v>
      </c>
      <c r="L2339" s="1"/>
    </row>
    <row r="2340" spans="1:12" ht="18" customHeight="1" x14ac:dyDescent="0.15">
      <c r="A2340" s="11">
        <v>178</v>
      </c>
      <c r="B2340" s="11" t="s">
        <v>63</v>
      </c>
      <c r="C2340" s="11" t="s">
        <v>64</v>
      </c>
      <c r="D2340" s="11">
        <v>1</v>
      </c>
      <c r="E2340" s="11" t="s">
        <v>4</v>
      </c>
      <c r="F2340" s="12">
        <v>170000</v>
      </c>
      <c r="G2340" s="12">
        <v>170000</v>
      </c>
      <c r="H2340" s="11" t="str">
        <f t="shared" si="76"/>
        <v>平成6年9月14日</v>
      </c>
      <c r="I2340" s="22">
        <f t="shared" si="77"/>
        <v>34591</v>
      </c>
      <c r="J2340" s="1" t="str">
        <f>"00736534"</f>
        <v>00736534</v>
      </c>
      <c r="K2340" s="1" t="str">
        <f>"３６４　　　　　　　　　　　　　　　　　"</f>
        <v>３６４　　　　　　　　　　　　　　　　　</v>
      </c>
      <c r="L2340" s="1"/>
    </row>
    <row r="2341" spans="1:12" ht="18" customHeight="1" x14ac:dyDescent="0.15">
      <c r="A2341" s="11">
        <v>179</v>
      </c>
      <c r="B2341" s="11" t="s">
        <v>63</v>
      </c>
      <c r="C2341" s="11" t="s">
        <v>64</v>
      </c>
      <c r="D2341" s="11">
        <v>1</v>
      </c>
      <c r="E2341" s="11" t="s">
        <v>4</v>
      </c>
      <c r="F2341" s="12">
        <v>90000</v>
      </c>
      <c r="G2341" s="12">
        <v>90000</v>
      </c>
      <c r="H2341" s="11" t="str">
        <f t="shared" si="76"/>
        <v>平成6年9月14日</v>
      </c>
      <c r="I2341" s="22">
        <f t="shared" si="77"/>
        <v>34591</v>
      </c>
      <c r="J2341" s="1" t="str">
        <f>"00736537"</f>
        <v>00736537</v>
      </c>
      <c r="K2341" s="1" t="str">
        <f>"３６５　　　　　　　　　　　　　　　　　"</f>
        <v>３６５　　　　　　　　　　　　　　　　　</v>
      </c>
      <c r="L2341" s="1"/>
    </row>
    <row r="2342" spans="1:12" ht="18" customHeight="1" x14ac:dyDescent="0.15">
      <c r="A2342" s="11">
        <v>180</v>
      </c>
      <c r="B2342" s="11" t="s">
        <v>63</v>
      </c>
      <c r="C2342" s="11" t="s">
        <v>64</v>
      </c>
      <c r="D2342" s="11">
        <v>1</v>
      </c>
      <c r="E2342" s="11" t="s">
        <v>4</v>
      </c>
      <c r="F2342" s="12">
        <v>300000</v>
      </c>
      <c r="G2342" s="12">
        <v>300000</v>
      </c>
      <c r="H2342" s="11" t="str">
        <f t="shared" si="76"/>
        <v>平成6年9月14日</v>
      </c>
      <c r="I2342" s="22">
        <f t="shared" si="77"/>
        <v>34591</v>
      </c>
      <c r="J2342" s="1" t="str">
        <f>"00736540"</f>
        <v>00736540</v>
      </c>
      <c r="K2342" s="1" t="str">
        <f>"３６６　　　　　　　　　　　　　　　　　"</f>
        <v>３６６　　　　　　　　　　　　　　　　　</v>
      </c>
      <c r="L2342" s="1"/>
    </row>
    <row r="2343" spans="1:12" ht="18" customHeight="1" x14ac:dyDescent="0.15">
      <c r="A2343" s="11">
        <v>181</v>
      </c>
      <c r="B2343" s="11" t="s">
        <v>63</v>
      </c>
      <c r="C2343" s="11" t="s">
        <v>64</v>
      </c>
      <c r="D2343" s="11">
        <v>1</v>
      </c>
      <c r="E2343" s="11" t="s">
        <v>4</v>
      </c>
      <c r="F2343" s="12">
        <v>300000</v>
      </c>
      <c r="G2343" s="12">
        <v>300000</v>
      </c>
      <c r="H2343" s="11" t="str">
        <f t="shared" si="76"/>
        <v>平成6年9月14日</v>
      </c>
      <c r="I2343" s="22">
        <f t="shared" si="77"/>
        <v>34591</v>
      </c>
      <c r="J2343" s="1" t="str">
        <f>"00736543"</f>
        <v>00736543</v>
      </c>
      <c r="K2343" s="1" t="str">
        <f>"３６７　　　　　　　　　　　　　　　　　"</f>
        <v>３６７　　　　　　　　　　　　　　　　　</v>
      </c>
      <c r="L2343" s="1"/>
    </row>
    <row r="2344" spans="1:12" ht="18" customHeight="1" x14ac:dyDescent="0.15">
      <c r="A2344" s="11">
        <v>182</v>
      </c>
      <c r="B2344" s="11" t="s">
        <v>63</v>
      </c>
      <c r="C2344" s="11" t="s">
        <v>64</v>
      </c>
      <c r="D2344" s="11">
        <v>1</v>
      </c>
      <c r="E2344" s="11" t="s">
        <v>4</v>
      </c>
      <c r="F2344" s="12">
        <v>300000</v>
      </c>
      <c r="G2344" s="12">
        <v>300000</v>
      </c>
      <c r="H2344" s="11" t="str">
        <f t="shared" si="76"/>
        <v>平成6年9月14日</v>
      </c>
      <c r="I2344" s="22">
        <f t="shared" si="77"/>
        <v>34591</v>
      </c>
      <c r="J2344" s="1" t="str">
        <f>"00736546"</f>
        <v>00736546</v>
      </c>
      <c r="K2344" s="1" t="str">
        <f>"３６８　　　　　　　　　　　　　　　　　"</f>
        <v>３６８　　　　　　　　　　　　　　　　　</v>
      </c>
      <c r="L2344" s="1"/>
    </row>
    <row r="2345" spans="1:12" ht="18" customHeight="1" x14ac:dyDescent="0.15">
      <c r="A2345" s="11">
        <v>183</v>
      </c>
      <c r="B2345" s="11" t="s">
        <v>63</v>
      </c>
      <c r="C2345" s="11" t="s">
        <v>64</v>
      </c>
      <c r="D2345" s="11">
        <v>1</v>
      </c>
      <c r="E2345" s="11" t="s">
        <v>4</v>
      </c>
      <c r="F2345" s="12">
        <v>300000</v>
      </c>
      <c r="G2345" s="12">
        <v>300000</v>
      </c>
      <c r="H2345" s="11" t="str">
        <f t="shared" si="76"/>
        <v>平成6年9月14日</v>
      </c>
      <c r="I2345" s="22">
        <f t="shared" si="77"/>
        <v>34591</v>
      </c>
      <c r="J2345" s="1" t="str">
        <f>"00736549"</f>
        <v>00736549</v>
      </c>
      <c r="K2345" s="1" t="str">
        <f>"３６９　　　　　　　　　　　　　　　　　"</f>
        <v>３６９　　　　　　　　　　　　　　　　　</v>
      </c>
      <c r="L2345" s="1"/>
    </row>
    <row r="2346" spans="1:12" ht="18" customHeight="1" x14ac:dyDescent="0.15">
      <c r="A2346" s="11">
        <v>184</v>
      </c>
      <c r="B2346" s="11" t="s">
        <v>63</v>
      </c>
      <c r="C2346" s="11" t="s">
        <v>64</v>
      </c>
      <c r="D2346" s="11">
        <v>1</v>
      </c>
      <c r="E2346" s="11" t="s">
        <v>4</v>
      </c>
      <c r="F2346" s="12">
        <v>243000</v>
      </c>
      <c r="G2346" s="12">
        <v>243000</v>
      </c>
      <c r="H2346" s="11" t="str">
        <f t="shared" si="76"/>
        <v>平成6年9月14日</v>
      </c>
      <c r="I2346" s="22">
        <f t="shared" si="77"/>
        <v>34591</v>
      </c>
      <c r="J2346" s="1" t="str">
        <f>"00736552"</f>
        <v>00736552</v>
      </c>
      <c r="K2346" s="1" t="str">
        <f>"３７０　　　　　　　　　　　　　　　　　"</f>
        <v>３７０　　　　　　　　　　　　　　　　　</v>
      </c>
      <c r="L2346" s="1"/>
    </row>
    <row r="2347" spans="1:12" ht="18" customHeight="1" x14ac:dyDescent="0.15">
      <c r="A2347" s="11">
        <v>185</v>
      </c>
      <c r="B2347" s="11" t="s">
        <v>63</v>
      </c>
      <c r="C2347" s="11" t="s">
        <v>64</v>
      </c>
      <c r="D2347" s="11">
        <v>1</v>
      </c>
      <c r="E2347" s="11" t="s">
        <v>4</v>
      </c>
      <c r="F2347" s="12">
        <v>243000</v>
      </c>
      <c r="G2347" s="12">
        <v>243000</v>
      </c>
      <c r="H2347" s="11" t="str">
        <f t="shared" si="76"/>
        <v>平成6年9月14日</v>
      </c>
      <c r="I2347" s="22">
        <f t="shared" si="77"/>
        <v>34591</v>
      </c>
      <c r="J2347" s="1" t="str">
        <f>"00736555"</f>
        <v>00736555</v>
      </c>
      <c r="K2347" s="1" t="str">
        <f>"３７１　　　　　　　　　　　　　　　　　"</f>
        <v>３７１　　　　　　　　　　　　　　　　　</v>
      </c>
      <c r="L2347" s="1"/>
    </row>
    <row r="2348" spans="1:12" ht="18" customHeight="1" x14ac:dyDescent="0.15">
      <c r="A2348" s="11">
        <v>186</v>
      </c>
      <c r="B2348" s="11" t="s">
        <v>63</v>
      </c>
      <c r="C2348" s="11" t="s">
        <v>64</v>
      </c>
      <c r="D2348" s="11">
        <v>1</v>
      </c>
      <c r="E2348" s="11" t="s">
        <v>4</v>
      </c>
      <c r="F2348" s="12">
        <v>243000</v>
      </c>
      <c r="G2348" s="12">
        <v>243000</v>
      </c>
      <c r="H2348" s="11" t="str">
        <f t="shared" si="76"/>
        <v>平成6年9月14日</v>
      </c>
      <c r="I2348" s="22">
        <f t="shared" si="77"/>
        <v>34591</v>
      </c>
      <c r="J2348" s="1" t="str">
        <f>"00736558"</f>
        <v>00736558</v>
      </c>
      <c r="K2348" s="1" t="str">
        <f>"３７２　　　　　　　　　　　　　　　　　"</f>
        <v>３７２　　　　　　　　　　　　　　　　　</v>
      </c>
      <c r="L2348" s="1"/>
    </row>
    <row r="2349" spans="1:12" ht="18" customHeight="1" x14ac:dyDescent="0.15">
      <c r="A2349" s="11">
        <v>187</v>
      </c>
      <c r="B2349" s="11" t="s">
        <v>63</v>
      </c>
      <c r="C2349" s="11" t="s">
        <v>64</v>
      </c>
      <c r="D2349" s="11">
        <v>1</v>
      </c>
      <c r="E2349" s="11" t="s">
        <v>4</v>
      </c>
      <c r="F2349" s="12">
        <v>243000</v>
      </c>
      <c r="G2349" s="12">
        <v>243000</v>
      </c>
      <c r="H2349" s="11" t="str">
        <f t="shared" si="76"/>
        <v>平成6年9月14日</v>
      </c>
      <c r="I2349" s="22">
        <f t="shared" si="77"/>
        <v>34591</v>
      </c>
      <c r="J2349" s="1" t="str">
        <f>"00736561"</f>
        <v>00736561</v>
      </c>
      <c r="K2349" s="1" t="str">
        <f>"３７３　　　　　　　　　　　　　　　　　"</f>
        <v>３７３　　　　　　　　　　　　　　　　　</v>
      </c>
      <c r="L2349" s="1"/>
    </row>
    <row r="2350" spans="1:12" ht="18" customHeight="1" x14ac:dyDescent="0.15">
      <c r="A2350" s="11">
        <v>188</v>
      </c>
      <c r="B2350" s="11" t="s">
        <v>63</v>
      </c>
      <c r="C2350" s="11" t="s">
        <v>64</v>
      </c>
      <c r="D2350" s="11">
        <v>1</v>
      </c>
      <c r="E2350" s="11" t="s">
        <v>4</v>
      </c>
      <c r="F2350" s="12">
        <v>243000</v>
      </c>
      <c r="G2350" s="12">
        <v>243000</v>
      </c>
      <c r="H2350" s="11" t="str">
        <f t="shared" si="76"/>
        <v>平成6年9月14日</v>
      </c>
      <c r="I2350" s="22">
        <f t="shared" si="77"/>
        <v>34591</v>
      </c>
      <c r="J2350" s="1" t="str">
        <f>"00736564"</f>
        <v>00736564</v>
      </c>
      <c r="K2350" s="1" t="str">
        <f>"３７４　　　　　　　　　　　　　　　　　"</f>
        <v>３７４　　　　　　　　　　　　　　　　　</v>
      </c>
      <c r="L2350" s="1"/>
    </row>
    <row r="2351" spans="1:12" ht="18" customHeight="1" x14ac:dyDescent="0.15">
      <c r="A2351" s="11">
        <v>189</v>
      </c>
      <c r="B2351" s="11" t="s">
        <v>63</v>
      </c>
      <c r="C2351" s="11" t="s">
        <v>64</v>
      </c>
      <c r="D2351" s="11">
        <v>1</v>
      </c>
      <c r="E2351" s="11" t="s">
        <v>4</v>
      </c>
      <c r="F2351" s="12">
        <v>243000</v>
      </c>
      <c r="G2351" s="12">
        <v>243000</v>
      </c>
      <c r="H2351" s="11" t="str">
        <f t="shared" si="76"/>
        <v>平成6年9月14日</v>
      </c>
      <c r="I2351" s="22">
        <f t="shared" si="77"/>
        <v>34591</v>
      </c>
      <c r="J2351" s="1" t="str">
        <f>"00736567"</f>
        <v>00736567</v>
      </c>
      <c r="K2351" s="1" t="str">
        <f>"３７５　　　　　　　　　　　　　　　　　"</f>
        <v>３７５　　　　　　　　　　　　　　　　　</v>
      </c>
      <c r="L2351" s="1"/>
    </row>
    <row r="2352" spans="1:12" ht="18" customHeight="1" x14ac:dyDescent="0.15">
      <c r="A2352" s="11">
        <v>190</v>
      </c>
      <c r="B2352" s="11" t="s">
        <v>63</v>
      </c>
      <c r="C2352" s="11" t="s">
        <v>64</v>
      </c>
      <c r="D2352" s="11">
        <v>1</v>
      </c>
      <c r="E2352" s="11" t="s">
        <v>4</v>
      </c>
      <c r="F2352" s="12">
        <v>243000</v>
      </c>
      <c r="G2352" s="12">
        <v>243000</v>
      </c>
      <c r="H2352" s="11" t="str">
        <f t="shared" si="76"/>
        <v>平成6年9月14日</v>
      </c>
      <c r="I2352" s="22">
        <f t="shared" si="77"/>
        <v>34591</v>
      </c>
      <c r="J2352" s="1" t="str">
        <f>"00736570"</f>
        <v>00736570</v>
      </c>
      <c r="K2352" s="1" t="str">
        <f>"３７６　　　　　　　　　　　　　　　　　"</f>
        <v>３７６　　　　　　　　　　　　　　　　　</v>
      </c>
      <c r="L2352" s="1"/>
    </row>
    <row r="2353" spans="1:12" ht="18" customHeight="1" x14ac:dyDescent="0.15">
      <c r="A2353" s="11">
        <v>191</v>
      </c>
      <c r="B2353" s="11" t="s">
        <v>63</v>
      </c>
      <c r="C2353" s="11" t="s">
        <v>64</v>
      </c>
      <c r="D2353" s="11">
        <v>1</v>
      </c>
      <c r="E2353" s="11" t="s">
        <v>4</v>
      </c>
      <c r="F2353" s="12">
        <v>243000</v>
      </c>
      <c r="G2353" s="12">
        <v>243000</v>
      </c>
      <c r="H2353" s="11" t="str">
        <f t="shared" si="76"/>
        <v>平成6年9月14日</v>
      </c>
      <c r="I2353" s="22">
        <f t="shared" si="77"/>
        <v>34591</v>
      </c>
      <c r="J2353" s="1" t="str">
        <f>"00736573"</f>
        <v>00736573</v>
      </c>
      <c r="K2353" s="1" t="str">
        <f>"３７７　　　　　　　　　　　　　　　　　"</f>
        <v>３７７　　　　　　　　　　　　　　　　　</v>
      </c>
      <c r="L2353" s="1"/>
    </row>
    <row r="2354" spans="1:12" ht="18" customHeight="1" x14ac:dyDescent="0.15">
      <c r="A2354" s="11">
        <v>192</v>
      </c>
      <c r="B2354" s="11" t="s">
        <v>63</v>
      </c>
      <c r="C2354" s="11" t="s">
        <v>64</v>
      </c>
      <c r="D2354" s="11">
        <v>1</v>
      </c>
      <c r="E2354" s="11" t="s">
        <v>4</v>
      </c>
      <c r="F2354" s="12">
        <v>243000</v>
      </c>
      <c r="G2354" s="12">
        <v>243000</v>
      </c>
      <c r="H2354" s="11" t="str">
        <f t="shared" si="76"/>
        <v>平成6年9月14日</v>
      </c>
      <c r="I2354" s="22">
        <f t="shared" si="77"/>
        <v>34591</v>
      </c>
      <c r="J2354" s="1" t="str">
        <f>"00736576"</f>
        <v>00736576</v>
      </c>
      <c r="K2354" s="1" t="str">
        <f>"３７８　　　　　　　　　　　　　　　　　"</f>
        <v>３７８　　　　　　　　　　　　　　　　　</v>
      </c>
      <c r="L2354" s="1"/>
    </row>
    <row r="2355" spans="1:12" ht="18" customHeight="1" x14ac:dyDescent="0.15">
      <c r="A2355" s="11">
        <v>193</v>
      </c>
      <c r="B2355" s="11" t="s">
        <v>63</v>
      </c>
      <c r="C2355" s="11" t="s">
        <v>64</v>
      </c>
      <c r="D2355" s="11">
        <v>1</v>
      </c>
      <c r="E2355" s="11" t="s">
        <v>4</v>
      </c>
      <c r="F2355" s="12">
        <v>243000</v>
      </c>
      <c r="G2355" s="12">
        <v>243000</v>
      </c>
      <c r="H2355" s="11" t="str">
        <f t="shared" si="76"/>
        <v>平成6年9月14日</v>
      </c>
      <c r="I2355" s="22">
        <f t="shared" si="77"/>
        <v>34591</v>
      </c>
      <c r="J2355" s="1" t="str">
        <f>"00736579"</f>
        <v>00736579</v>
      </c>
      <c r="K2355" s="1" t="str">
        <f>"３７９　　　　　　　　　　　　　　　　　"</f>
        <v>３７９　　　　　　　　　　　　　　　　　</v>
      </c>
      <c r="L2355" s="1"/>
    </row>
    <row r="2356" spans="1:12" ht="18" customHeight="1" x14ac:dyDescent="0.15">
      <c r="A2356" s="11">
        <v>194</v>
      </c>
      <c r="B2356" s="11" t="s">
        <v>63</v>
      </c>
      <c r="C2356" s="11" t="s">
        <v>64</v>
      </c>
      <c r="D2356" s="11">
        <v>1</v>
      </c>
      <c r="E2356" s="11" t="s">
        <v>4</v>
      </c>
      <c r="F2356" s="12">
        <v>800000</v>
      </c>
      <c r="G2356" s="12">
        <v>800000</v>
      </c>
      <c r="H2356" s="11" t="str">
        <f t="shared" si="76"/>
        <v>平成6年9月14日</v>
      </c>
      <c r="I2356" s="22">
        <f t="shared" si="77"/>
        <v>34591</v>
      </c>
      <c r="J2356" s="1" t="str">
        <f>"00736582"</f>
        <v>00736582</v>
      </c>
      <c r="K2356" s="1" t="str">
        <f>"３８０　　　　　　　　　　　　　　　　　"</f>
        <v>３８０　　　　　　　　　　　　　　　　　</v>
      </c>
      <c r="L2356" s="1"/>
    </row>
    <row r="2357" spans="1:12" ht="18" customHeight="1" x14ac:dyDescent="0.15">
      <c r="A2357" s="11">
        <v>195</v>
      </c>
      <c r="B2357" s="11" t="s">
        <v>63</v>
      </c>
      <c r="C2357" s="11" t="s">
        <v>64</v>
      </c>
      <c r="D2357" s="11">
        <v>1</v>
      </c>
      <c r="E2357" s="11" t="s">
        <v>4</v>
      </c>
      <c r="F2357" s="12">
        <v>800000</v>
      </c>
      <c r="G2357" s="12">
        <v>800000</v>
      </c>
      <c r="H2357" s="11" t="str">
        <f t="shared" si="76"/>
        <v>平成6年9月14日</v>
      </c>
      <c r="I2357" s="22">
        <f t="shared" si="77"/>
        <v>34591</v>
      </c>
      <c r="J2357" s="1" t="str">
        <f>"00736585"</f>
        <v>00736585</v>
      </c>
      <c r="K2357" s="1" t="str">
        <f>"３８１　　　　　　　　　　　　　　　　　"</f>
        <v>３８１　　　　　　　　　　　　　　　　　</v>
      </c>
      <c r="L2357" s="1"/>
    </row>
    <row r="2358" spans="1:12" ht="18" customHeight="1" x14ac:dyDescent="0.15">
      <c r="A2358" s="11">
        <v>196</v>
      </c>
      <c r="B2358" s="11" t="s">
        <v>63</v>
      </c>
      <c r="C2358" s="11" t="s">
        <v>64</v>
      </c>
      <c r="D2358" s="11">
        <v>1</v>
      </c>
      <c r="E2358" s="11" t="s">
        <v>4</v>
      </c>
      <c r="F2358" s="12">
        <v>99100</v>
      </c>
      <c r="G2358" s="12">
        <v>99100</v>
      </c>
      <c r="H2358" s="11" t="str">
        <f t="shared" si="76"/>
        <v>平成6年9月14日</v>
      </c>
      <c r="I2358" s="22">
        <f t="shared" si="77"/>
        <v>34591</v>
      </c>
      <c r="J2358" s="1" t="str">
        <f>"00736588"</f>
        <v>00736588</v>
      </c>
      <c r="K2358" s="1" t="str">
        <f>"３８２　　　　　　　　　　　　　　　　　"</f>
        <v>３８２　　　　　　　　　　　　　　　　　</v>
      </c>
      <c r="L2358" s="1"/>
    </row>
    <row r="2359" spans="1:12" ht="18" customHeight="1" x14ac:dyDescent="0.15">
      <c r="A2359" s="11">
        <v>197</v>
      </c>
      <c r="B2359" s="11" t="s">
        <v>63</v>
      </c>
      <c r="C2359" s="11" t="s">
        <v>64</v>
      </c>
      <c r="D2359" s="11">
        <v>1</v>
      </c>
      <c r="E2359" s="11" t="s">
        <v>4</v>
      </c>
      <c r="F2359" s="12">
        <v>99100</v>
      </c>
      <c r="G2359" s="12">
        <v>99100</v>
      </c>
      <c r="H2359" s="11" t="str">
        <f t="shared" si="76"/>
        <v>平成6年9月14日</v>
      </c>
      <c r="I2359" s="22">
        <f t="shared" si="77"/>
        <v>34591</v>
      </c>
      <c r="J2359" s="1" t="str">
        <f>"00736591"</f>
        <v>00736591</v>
      </c>
      <c r="K2359" s="1" t="str">
        <f>"３８３　　　　　　　　　　　　　　　　　"</f>
        <v>３８３　　　　　　　　　　　　　　　　　</v>
      </c>
      <c r="L2359" s="1"/>
    </row>
    <row r="2360" spans="1:12" ht="18" customHeight="1" x14ac:dyDescent="0.15">
      <c r="A2360" s="11">
        <v>198</v>
      </c>
      <c r="B2360" s="11" t="s">
        <v>63</v>
      </c>
      <c r="C2360" s="11" t="s">
        <v>64</v>
      </c>
      <c r="D2360" s="11">
        <v>1</v>
      </c>
      <c r="E2360" s="11" t="s">
        <v>4</v>
      </c>
      <c r="F2360" s="12">
        <v>99100</v>
      </c>
      <c r="G2360" s="12">
        <v>99100</v>
      </c>
      <c r="H2360" s="11" t="str">
        <f t="shared" si="76"/>
        <v>平成6年9月14日</v>
      </c>
      <c r="I2360" s="22">
        <f t="shared" si="77"/>
        <v>34591</v>
      </c>
      <c r="J2360" s="1" t="str">
        <f>"00736594"</f>
        <v>00736594</v>
      </c>
      <c r="K2360" s="1" t="str">
        <f>"３８４　　　　　　　　　　　　　　　　　"</f>
        <v>３８４　　　　　　　　　　　　　　　　　</v>
      </c>
      <c r="L2360" s="1"/>
    </row>
    <row r="2361" spans="1:12" ht="18" customHeight="1" x14ac:dyDescent="0.15">
      <c r="A2361" s="11">
        <v>199</v>
      </c>
      <c r="B2361" s="11" t="s">
        <v>63</v>
      </c>
      <c r="C2361" s="11" t="s">
        <v>64</v>
      </c>
      <c r="D2361" s="11">
        <v>1</v>
      </c>
      <c r="E2361" s="11" t="s">
        <v>4</v>
      </c>
      <c r="F2361" s="12">
        <v>99100</v>
      </c>
      <c r="G2361" s="12">
        <v>99100</v>
      </c>
      <c r="H2361" s="11" t="str">
        <f t="shared" si="76"/>
        <v>平成6年9月14日</v>
      </c>
      <c r="I2361" s="22">
        <f t="shared" si="77"/>
        <v>34591</v>
      </c>
      <c r="J2361" s="1" t="str">
        <f>"00736597"</f>
        <v>00736597</v>
      </c>
      <c r="K2361" s="1" t="str">
        <f>"３８５　　　　　　　　　　　　　　　　　"</f>
        <v>３８５　　　　　　　　　　　　　　　　　</v>
      </c>
      <c r="L2361" s="1"/>
    </row>
    <row r="2362" spans="1:12" ht="18" customHeight="1" x14ac:dyDescent="0.15">
      <c r="A2362" s="11">
        <v>200</v>
      </c>
      <c r="B2362" s="11" t="s">
        <v>63</v>
      </c>
      <c r="C2362" s="11" t="s">
        <v>64</v>
      </c>
      <c r="D2362" s="11">
        <v>1</v>
      </c>
      <c r="E2362" s="11" t="s">
        <v>4</v>
      </c>
      <c r="F2362" s="12">
        <v>99100</v>
      </c>
      <c r="G2362" s="12">
        <v>99100</v>
      </c>
      <c r="H2362" s="11" t="str">
        <f t="shared" si="76"/>
        <v>平成6年9月14日</v>
      </c>
      <c r="I2362" s="22">
        <f t="shared" si="77"/>
        <v>34591</v>
      </c>
      <c r="J2362" s="1" t="str">
        <f>"00736601"</f>
        <v>00736601</v>
      </c>
      <c r="K2362" s="1" t="str">
        <f>"３８６　　　　　　　　　　　　　　　　　"</f>
        <v>３８６　　　　　　　　　　　　　　　　　</v>
      </c>
      <c r="L2362" s="1"/>
    </row>
    <row r="2363" spans="1:12" ht="18" customHeight="1" x14ac:dyDescent="0.15">
      <c r="A2363" s="11">
        <v>201</v>
      </c>
      <c r="B2363" s="11" t="s">
        <v>63</v>
      </c>
      <c r="C2363" s="11" t="s">
        <v>64</v>
      </c>
      <c r="D2363" s="11">
        <v>1</v>
      </c>
      <c r="E2363" s="11" t="s">
        <v>4</v>
      </c>
      <c r="F2363" s="12">
        <v>99100</v>
      </c>
      <c r="G2363" s="12">
        <v>99100</v>
      </c>
      <c r="H2363" s="11" t="str">
        <f t="shared" si="76"/>
        <v>平成6年9月14日</v>
      </c>
      <c r="I2363" s="22">
        <f t="shared" si="77"/>
        <v>34591</v>
      </c>
      <c r="J2363" s="1" t="str">
        <f>"00736604"</f>
        <v>00736604</v>
      </c>
      <c r="K2363" s="1" t="str">
        <f>"３８７　　　　　　　　　　　　　　　　　"</f>
        <v>３８７　　　　　　　　　　　　　　　　　</v>
      </c>
      <c r="L2363" s="1"/>
    </row>
    <row r="2364" spans="1:12" ht="18" customHeight="1" x14ac:dyDescent="0.15">
      <c r="A2364" s="11">
        <v>202</v>
      </c>
      <c r="B2364" s="11" t="s">
        <v>63</v>
      </c>
      <c r="C2364" s="11" t="s">
        <v>64</v>
      </c>
      <c r="D2364" s="11">
        <v>1</v>
      </c>
      <c r="E2364" s="11" t="s">
        <v>4</v>
      </c>
      <c r="F2364" s="12">
        <v>99100</v>
      </c>
      <c r="G2364" s="12">
        <v>99100</v>
      </c>
      <c r="H2364" s="11" t="str">
        <f t="shared" si="76"/>
        <v>平成6年9月14日</v>
      </c>
      <c r="I2364" s="22">
        <f t="shared" si="77"/>
        <v>34591</v>
      </c>
      <c r="J2364" s="1" t="str">
        <f>"00736607"</f>
        <v>00736607</v>
      </c>
      <c r="K2364" s="1" t="str">
        <f>"３８８　　　　　　　　　　　　　　　　　"</f>
        <v>３８８　　　　　　　　　　　　　　　　　</v>
      </c>
      <c r="L2364" s="1"/>
    </row>
    <row r="2365" spans="1:12" ht="18" customHeight="1" x14ac:dyDescent="0.15">
      <c r="A2365" s="11">
        <v>203</v>
      </c>
      <c r="B2365" s="11" t="s">
        <v>63</v>
      </c>
      <c r="C2365" s="11" t="s">
        <v>64</v>
      </c>
      <c r="D2365" s="11">
        <v>1</v>
      </c>
      <c r="E2365" s="11" t="s">
        <v>4</v>
      </c>
      <c r="F2365" s="12">
        <v>99100</v>
      </c>
      <c r="G2365" s="12">
        <v>99100</v>
      </c>
      <c r="H2365" s="11" t="str">
        <f t="shared" si="76"/>
        <v>平成6年9月14日</v>
      </c>
      <c r="I2365" s="22">
        <f t="shared" si="77"/>
        <v>34591</v>
      </c>
      <c r="J2365" s="1" t="str">
        <f>"00736610"</f>
        <v>00736610</v>
      </c>
      <c r="K2365" s="1" t="str">
        <f>"３８９　　　　　　　　　　　　　　　　　"</f>
        <v>３８９　　　　　　　　　　　　　　　　　</v>
      </c>
      <c r="L2365" s="1"/>
    </row>
    <row r="2366" spans="1:12" ht="18" customHeight="1" x14ac:dyDescent="0.15">
      <c r="A2366" s="11">
        <v>204</v>
      </c>
      <c r="B2366" s="11" t="s">
        <v>63</v>
      </c>
      <c r="C2366" s="11" t="s">
        <v>64</v>
      </c>
      <c r="D2366" s="11">
        <v>1</v>
      </c>
      <c r="E2366" s="11" t="s">
        <v>4</v>
      </c>
      <c r="F2366" s="12">
        <v>99100</v>
      </c>
      <c r="G2366" s="12">
        <v>99100</v>
      </c>
      <c r="H2366" s="11" t="str">
        <f t="shared" si="76"/>
        <v>平成6年9月14日</v>
      </c>
      <c r="I2366" s="22">
        <f t="shared" si="77"/>
        <v>34591</v>
      </c>
      <c r="J2366" s="1" t="str">
        <f>"00736611"</f>
        <v>00736611</v>
      </c>
      <c r="K2366" s="1" t="str">
        <f>"３９０　　　　　　　　　　　　　　　　　"</f>
        <v>３９０　　　　　　　　　　　　　　　　　</v>
      </c>
      <c r="L2366" s="1"/>
    </row>
    <row r="2367" spans="1:12" ht="18" customHeight="1" x14ac:dyDescent="0.15">
      <c r="A2367" s="11">
        <v>205</v>
      </c>
      <c r="B2367" s="11" t="s">
        <v>63</v>
      </c>
      <c r="C2367" s="11" t="s">
        <v>64</v>
      </c>
      <c r="D2367" s="11">
        <v>1</v>
      </c>
      <c r="E2367" s="11" t="s">
        <v>4</v>
      </c>
      <c r="F2367" s="12">
        <v>99100</v>
      </c>
      <c r="G2367" s="12">
        <v>99100</v>
      </c>
      <c r="H2367" s="11" t="str">
        <f t="shared" si="76"/>
        <v>平成6年9月14日</v>
      </c>
      <c r="I2367" s="22">
        <f t="shared" si="77"/>
        <v>34591</v>
      </c>
      <c r="J2367" s="1" t="str">
        <f>"00736615"</f>
        <v>00736615</v>
      </c>
      <c r="K2367" s="1" t="str">
        <f>"３９１　　　　　　　　　　　　　　　　　"</f>
        <v>３９１　　　　　　　　　　　　　　　　　</v>
      </c>
      <c r="L2367" s="1"/>
    </row>
    <row r="2368" spans="1:12" ht="18" customHeight="1" x14ac:dyDescent="0.15">
      <c r="A2368" s="11">
        <v>206</v>
      </c>
      <c r="B2368" s="11" t="s">
        <v>63</v>
      </c>
      <c r="C2368" s="11" t="s">
        <v>64</v>
      </c>
      <c r="D2368" s="11">
        <v>1</v>
      </c>
      <c r="E2368" s="11" t="s">
        <v>4</v>
      </c>
      <c r="F2368" s="12">
        <v>99100</v>
      </c>
      <c r="G2368" s="12">
        <v>99100</v>
      </c>
      <c r="H2368" s="11" t="str">
        <f t="shared" si="76"/>
        <v>平成6年9月14日</v>
      </c>
      <c r="I2368" s="22">
        <f t="shared" si="77"/>
        <v>34591</v>
      </c>
      <c r="J2368" s="1" t="str">
        <f>"00736618"</f>
        <v>00736618</v>
      </c>
      <c r="K2368" s="1" t="str">
        <f>"３９２　　　　　　　　　　　　　　　　　"</f>
        <v>３９２　　　　　　　　　　　　　　　　　</v>
      </c>
      <c r="L2368" s="1"/>
    </row>
    <row r="2369" spans="1:12" ht="18" customHeight="1" x14ac:dyDescent="0.15">
      <c r="A2369" s="11">
        <v>207</v>
      </c>
      <c r="B2369" s="11" t="s">
        <v>63</v>
      </c>
      <c r="C2369" s="11" t="s">
        <v>64</v>
      </c>
      <c r="D2369" s="11">
        <v>1</v>
      </c>
      <c r="E2369" s="11" t="s">
        <v>4</v>
      </c>
      <c r="F2369" s="12">
        <v>99100</v>
      </c>
      <c r="G2369" s="12">
        <v>99100</v>
      </c>
      <c r="H2369" s="11" t="str">
        <f t="shared" si="76"/>
        <v>平成6年9月14日</v>
      </c>
      <c r="I2369" s="22">
        <f t="shared" si="77"/>
        <v>34591</v>
      </c>
      <c r="J2369" s="1" t="str">
        <f>"00736622"</f>
        <v>00736622</v>
      </c>
      <c r="K2369" s="1" t="str">
        <f>"３９３　　　　　　　　　　　　　　　　　"</f>
        <v>３９３　　　　　　　　　　　　　　　　　</v>
      </c>
      <c r="L2369" s="1"/>
    </row>
    <row r="2370" spans="1:12" ht="18" customHeight="1" x14ac:dyDescent="0.15">
      <c r="A2370" s="11">
        <v>208</v>
      </c>
      <c r="B2370" s="11" t="s">
        <v>63</v>
      </c>
      <c r="C2370" s="11" t="s">
        <v>64</v>
      </c>
      <c r="D2370" s="11">
        <v>1</v>
      </c>
      <c r="E2370" s="11" t="s">
        <v>4</v>
      </c>
      <c r="F2370" s="12">
        <v>99100</v>
      </c>
      <c r="G2370" s="12">
        <v>99100</v>
      </c>
      <c r="H2370" s="11" t="str">
        <f t="shared" si="76"/>
        <v>平成6年9月14日</v>
      </c>
      <c r="I2370" s="22">
        <f t="shared" si="77"/>
        <v>34591</v>
      </c>
      <c r="J2370" s="1" t="str">
        <f>"00736624"</f>
        <v>00736624</v>
      </c>
      <c r="K2370" s="1" t="str">
        <f>"３９４　　　　　　　　　　　　　　　　　"</f>
        <v>３９４　　　　　　　　　　　　　　　　　</v>
      </c>
      <c r="L2370" s="1"/>
    </row>
    <row r="2371" spans="1:12" ht="18" customHeight="1" x14ac:dyDescent="0.15">
      <c r="A2371" s="11">
        <v>209</v>
      </c>
      <c r="B2371" s="11" t="s">
        <v>63</v>
      </c>
      <c r="C2371" s="11" t="s">
        <v>64</v>
      </c>
      <c r="D2371" s="11">
        <v>1</v>
      </c>
      <c r="E2371" s="11" t="s">
        <v>4</v>
      </c>
      <c r="F2371" s="12">
        <v>99100</v>
      </c>
      <c r="G2371" s="12">
        <v>99100</v>
      </c>
      <c r="H2371" s="11" t="str">
        <f t="shared" si="76"/>
        <v>平成6年9月14日</v>
      </c>
      <c r="I2371" s="22">
        <f t="shared" si="77"/>
        <v>34591</v>
      </c>
      <c r="J2371" s="1" t="str">
        <f>"00736627"</f>
        <v>00736627</v>
      </c>
      <c r="K2371" s="1" t="str">
        <f>"３９５　　　　　　　　　　　　　　　　　"</f>
        <v>３９５　　　　　　　　　　　　　　　　　</v>
      </c>
      <c r="L2371" s="1"/>
    </row>
    <row r="2372" spans="1:12" ht="18" customHeight="1" x14ac:dyDescent="0.15">
      <c r="A2372" s="11">
        <v>210</v>
      </c>
      <c r="B2372" s="11" t="s">
        <v>63</v>
      </c>
      <c r="C2372" s="11" t="s">
        <v>64</v>
      </c>
      <c r="D2372" s="11">
        <v>1</v>
      </c>
      <c r="E2372" s="11" t="s">
        <v>4</v>
      </c>
      <c r="F2372" s="12">
        <v>99100</v>
      </c>
      <c r="G2372" s="12">
        <v>99100</v>
      </c>
      <c r="H2372" s="11" t="str">
        <f t="shared" si="76"/>
        <v>平成6年9月14日</v>
      </c>
      <c r="I2372" s="22">
        <f t="shared" si="77"/>
        <v>34591</v>
      </c>
      <c r="J2372" s="1" t="str">
        <f>"00736631"</f>
        <v>00736631</v>
      </c>
      <c r="K2372" s="1" t="str">
        <f>"３９６　　　　　　　　　　　　　　　　　"</f>
        <v>３９６　　　　　　　　　　　　　　　　　</v>
      </c>
      <c r="L2372" s="1"/>
    </row>
    <row r="2373" spans="1:12" ht="18" customHeight="1" x14ac:dyDescent="0.15">
      <c r="A2373" s="11">
        <v>211</v>
      </c>
      <c r="B2373" s="11" t="s">
        <v>63</v>
      </c>
      <c r="C2373" s="11" t="s">
        <v>64</v>
      </c>
      <c r="D2373" s="11">
        <v>1</v>
      </c>
      <c r="E2373" s="11" t="s">
        <v>4</v>
      </c>
      <c r="F2373" s="12">
        <v>95300</v>
      </c>
      <c r="G2373" s="12">
        <v>95300</v>
      </c>
      <c r="H2373" s="11" t="str">
        <f t="shared" si="76"/>
        <v>平成6年9月14日</v>
      </c>
      <c r="I2373" s="22">
        <f t="shared" si="77"/>
        <v>34591</v>
      </c>
      <c r="J2373" s="1" t="str">
        <f>"00736634"</f>
        <v>00736634</v>
      </c>
      <c r="K2373" s="1" t="str">
        <f>"３９７　　　　　　　　　　　　　　　　　"</f>
        <v>３９７　　　　　　　　　　　　　　　　　</v>
      </c>
      <c r="L2373" s="1"/>
    </row>
    <row r="2374" spans="1:12" ht="18" customHeight="1" x14ac:dyDescent="0.15">
      <c r="A2374" s="11">
        <v>212</v>
      </c>
      <c r="B2374" s="11" t="s">
        <v>63</v>
      </c>
      <c r="C2374" s="11" t="s">
        <v>64</v>
      </c>
      <c r="D2374" s="11">
        <v>1</v>
      </c>
      <c r="E2374" s="11" t="s">
        <v>4</v>
      </c>
      <c r="F2374" s="12">
        <v>95300</v>
      </c>
      <c r="G2374" s="12">
        <v>95300</v>
      </c>
      <c r="H2374" s="11" t="str">
        <f t="shared" si="76"/>
        <v>平成6年9月14日</v>
      </c>
      <c r="I2374" s="22">
        <f t="shared" si="77"/>
        <v>34591</v>
      </c>
      <c r="J2374" s="1" t="str">
        <f>"00736637"</f>
        <v>00736637</v>
      </c>
      <c r="K2374" s="1" t="str">
        <f>"３９８　　　　　　　　　　　　　　　　　"</f>
        <v>３９８　　　　　　　　　　　　　　　　　</v>
      </c>
      <c r="L2374" s="1"/>
    </row>
    <row r="2375" spans="1:12" ht="18" customHeight="1" x14ac:dyDescent="0.15">
      <c r="A2375" s="11">
        <v>213</v>
      </c>
      <c r="B2375" s="11" t="s">
        <v>63</v>
      </c>
      <c r="C2375" s="11" t="s">
        <v>64</v>
      </c>
      <c r="D2375" s="11">
        <v>1</v>
      </c>
      <c r="E2375" s="11" t="s">
        <v>4</v>
      </c>
      <c r="F2375" s="12">
        <v>95300</v>
      </c>
      <c r="G2375" s="12">
        <v>95300</v>
      </c>
      <c r="H2375" s="11" t="str">
        <f t="shared" si="76"/>
        <v>平成6年9月14日</v>
      </c>
      <c r="I2375" s="22">
        <f t="shared" si="77"/>
        <v>34591</v>
      </c>
      <c r="J2375" s="1" t="str">
        <f>"00736639"</f>
        <v>00736639</v>
      </c>
      <c r="K2375" s="1" t="str">
        <f>"３９９　　　　　　　　　　　　　　　　　"</f>
        <v>３９９　　　　　　　　　　　　　　　　　</v>
      </c>
      <c r="L2375" s="1"/>
    </row>
    <row r="2376" spans="1:12" ht="18" customHeight="1" x14ac:dyDescent="0.15">
      <c r="A2376" s="11">
        <v>214</v>
      </c>
      <c r="B2376" s="11" t="s">
        <v>63</v>
      </c>
      <c r="C2376" s="11" t="s">
        <v>64</v>
      </c>
      <c r="D2376" s="11">
        <v>1</v>
      </c>
      <c r="E2376" s="11" t="s">
        <v>4</v>
      </c>
      <c r="F2376" s="12">
        <v>95300</v>
      </c>
      <c r="G2376" s="12">
        <v>95300</v>
      </c>
      <c r="H2376" s="11" t="str">
        <f t="shared" si="76"/>
        <v>平成6年9月14日</v>
      </c>
      <c r="I2376" s="22">
        <f t="shared" si="77"/>
        <v>34591</v>
      </c>
      <c r="J2376" s="1" t="str">
        <f>"00736643"</f>
        <v>00736643</v>
      </c>
      <c r="K2376" s="1" t="str">
        <f>"４００　　　　　　　　　　　　　　　　　"</f>
        <v>４００　　　　　　　　　　　　　　　　　</v>
      </c>
      <c r="L2376" s="1"/>
    </row>
    <row r="2377" spans="1:12" ht="18" customHeight="1" x14ac:dyDescent="0.15">
      <c r="A2377" s="11">
        <v>215</v>
      </c>
      <c r="B2377" s="11" t="s">
        <v>63</v>
      </c>
      <c r="C2377" s="11" t="s">
        <v>64</v>
      </c>
      <c r="D2377" s="11">
        <v>1</v>
      </c>
      <c r="E2377" s="11" t="s">
        <v>4</v>
      </c>
      <c r="F2377" s="12">
        <v>95300</v>
      </c>
      <c r="G2377" s="12">
        <v>95300</v>
      </c>
      <c r="H2377" s="11" t="str">
        <f t="shared" si="76"/>
        <v>平成6年9月14日</v>
      </c>
      <c r="I2377" s="22">
        <f t="shared" si="77"/>
        <v>34591</v>
      </c>
      <c r="J2377" s="1" t="str">
        <f>"00736644"</f>
        <v>00736644</v>
      </c>
      <c r="K2377" s="1" t="str">
        <f>"４０１　　　　　　　　　　　　　　　　　"</f>
        <v>４０１　　　　　　　　　　　　　　　　　</v>
      </c>
      <c r="L2377" s="1"/>
    </row>
    <row r="2378" spans="1:12" ht="18" customHeight="1" x14ac:dyDescent="0.15">
      <c r="A2378" s="11">
        <v>216</v>
      </c>
      <c r="B2378" s="11" t="s">
        <v>63</v>
      </c>
      <c r="C2378" s="11" t="s">
        <v>64</v>
      </c>
      <c r="D2378" s="11">
        <v>1</v>
      </c>
      <c r="E2378" s="11" t="s">
        <v>4</v>
      </c>
      <c r="F2378" s="12">
        <v>95300</v>
      </c>
      <c r="G2378" s="12">
        <v>95300</v>
      </c>
      <c r="H2378" s="11" t="str">
        <f t="shared" si="76"/>
        <v>平成6年9月14日</v>
      </c>
      <c r="I2378" s="22">
        <f t="shared" si="77"/>
        <v>34591</v>
      </c>
      <c r="J2378" s="1" t="str">
        <f>"00736647"</f>
        <v>00736647</v>
      </c>
      <c r="K2378" s="1" t="str">
        <f>"４０２　　　　　　　　　　　　　　　　　"</f>
        <v>４０２　　　　　　　　　　　　　　　　　</v>
      </c>
      <c r="L2378" s="1"/>
    </row>
    <row r="2379" spans="1:12" ht="18" customHeight="1" x14ac:dyDescent="0.15">
      <c r="A2379" s="11">
        <v>217</v>
      </c>
      <c r="B2379" s="11" t="s">
        <v>63</v>
      </c>
      <c r="C2379" s="11" t="s">
        <v>64</v>
      </c>
      <c r="D2379" s="11">
        <v>1</v>
      </c>
      <c r="E2379" s="11" t="s">
        <v>4</v>
      </c>
      <c r="F2379" s="12">
        <v>95300</v>
      </c>
      <c r="G2379" s="12">
        <v>95300</v>
      </c>
      <c r="H2379" s="11" t="str">
        <f t="shared" si="76"/>
        <v>平成6年9月14日</v>
      </c>
      <c r="I2379" s="22">
        <f t="shared" si="77"/>
        <v>34591</v>
      </c>
      <c r="J2379" s="1" t="str">
        <f>"00736649"</f>
        <v>00736649</v>
      </c>
      <c r="K2379" s="1" t="str">
        <f>"４０３　　　　　　　　　　　　　　　　　"</f>
        <v>４０３　　　　　　　　　　　　　　　　　</v>
      </c>
      <c r="L2379" s="1"/>
    </row>
    <row r="2380" spans="1:12" ht="18" customHeight="1" x14ac:dyDescent="0.15">
      <c r="A2380" s="11">
        <v>218</v>
      </c>
      <c r="B2380" s="11" t="s">
        <v>63</v>
      </c>
      <c r="C2380" s="11" t="s">
        <v>64</v>
      </c>
      <c r="D2380" s="11">
        <v>1</v>
      </c>
      <c r="E2380" s="11" t="s">
        <v>4</v>
      </c>
      <c r="F2380" s="12">
        <v>95300</v>
      </c>
      <c r="G2380" s="12">
        <v>95300</v>
      </c>
      <c r="H2380" s="11" t="str">
        <f t="shared" si="76"/>
        <v>平成6年9月14日</v>
      </c>
      <c r="I2380" s="22">
        <f t="shared" si="77"/>
        <v>34591</v>
      </c>
      <c r="J2380" s="1" t="str">
        <f>"00736651"</f>
        <v>00736651</v>
      </c>
      <c r="K2380" s="1" t="str">
        <f>"４０４　　　　　　　　　　　　　　　　　"</f>
        <v>４０４　　　　　　　　　　　　　　　　　</v>
      </c>
      <c r="L2380" s="1"/>
    </row>
    <row r="2381" spans="1:12" ht="18" customHeight="1" x14ac:dyDescent="0.15">
      <c r="A2381" s="11">
        <v>219</v>
      </c>
      <c r="B2381" s="11" t="s">
        <v>63</v>
      </c>
      <c r="C2381" s="11" t="s">
        <v>64</v>
      </c>
      <c r="D2381" s="11">
        <v>1</v>
      </c>
      <c r="E2381" s="11" t="s">
        <v>4</v>
      </c>
      <c r="F2381" s="12">
        <v>95300</v>
      </c>
      <c r="G2381" s="12">
        <v>95300</v>
      </c>
      <c r="H2381" s="11" t="str">
        <f t="shared" si="76"/>
        <v>平成6年9月14日</v>
      </c>
      <c r="I2381" s="22">
        <f t="shared" si="77"/>
        <v>34591</v>
      </c>
      <c r="J2381" s="1" t="str">
        <f>"00736653"</f>
        <v>00736653</v>
      </c>
      <c r="K2381" s="1" t="str">
        <f>"４０５　　　　　　　　　　　　　　　　　"</f>
        <v>４０５　　　　　　　　　　　　　　　　　</v>
      </c>
      <c r="L2381" s="1"/>
    </row>
    <row r="2382" spans="1:12" ht="18" customHeight="1" x14ac:dyDescent="0.15">
      <c r="A2382" s="11">
        <v>220</v>
      </c>
      <c r="B2382" s="11" t="s">
        <v>63</v>
      </c>
      <c r="C2382" s="11" t="s">
        <v>64</v>
      </c>
      <c r="D2382" s="11">
        <v>1</v>
      </c>
      <c r="E2382" s="11" t="s">
        <v>4</v>
      </c>
      <c r="F2382" s="12">
        <v>95300</v>
      </c>
      <c r="G2382" s="12">
        <v>95300</v>
      </c>
      <c r="H2382" s="11" t="str">
        <f t="shared" si="76"/>
        <v>平成6年9月14日</v>
      </c>
      <c r="I2382" s="22">
        <f t="shared" si="77"/>
        <v>34591</v>
      </c>
      <c r="J2382" s="1" t="str">
        <f>"00736659"</f>
        <v>00736659</v>
      </c>
      <c r="K2382" s="1" t="str">
        <f>"４０８　　　　　　　　　　　　　　　　　"</f>
        <v>４０８　　　　　　　　　　　　　　　　　</v>
      </c>
      <c r="L2382" s="1"/>
    </row>
    <row r="2383" spans="1:12" ht="18" customHeight="1" x14ac:dyDescent="0.15">
      <c r="A2383" s="11">
        <v>221</v>
      </c>
      <c r="B2383" s="11" t="s">
        <v>63</v>
      </c>
      <c r="C2383" s="11" t="s">
        <v>64</v>
      </c>
      <c r="D2383" s="11">
        <v>1</v>
      </c>
      <c r="E2383" s="11" t="s">
        <v>4</v>
      </c>
      <c r="F2383" s="12">
        <v>95300</v>
      </c>
      <c r="G2383" s="12">
        <v>95300</v>
      </c>
      <c r="H2383" s="11" t="str">
        <f t="shared" ref="H2383:H2446" si="78">"平成6年9月14日"</f>
        <v>平成6年9月14日</v>
      </c>
      <c r="I2383" s="22">
        <f t="shared" si="77"/>
        <v>34591</v>
      </c>
      <c r="J2383" s="1" t="str">
        <f>"00736661"</f>
        <v>00736661</v>
      </c>
      <c r="K2383" s="1" t="str">
        <f>"４０９　　　　　　　　　　　　　　　　　"</f>
        <v>４０９　　　　　　　　　　　　　　　　　</v>
      </c>
      <c r="L2383" s="1"/>
    </row>
    <row r="2384" spans="1:12" ht="18" customHeight="1" x14ac:dyDescent="0.15">
      <c r="A2384" s="11">
        <v>222</v>
      </c>
      <c r="B2384" s="11" t="s">
        <v>63</v>
      </c>
      <c r="C2384" s="11" t="s">
        <v>64</v>
      </c>
      <c r="D2384" s="11">
        <v>1</v>
      </c>
      <c r="E2384" s="11" t="s">
        <v>4</v>
      </c>
      <c r="F2384" s="12">
        <v>163800</v>
      </c>
      <c r="G2384" s="12">
        <v>163800</v>
      </c>
      <c r="H2384" s="11" t="str">
        <f t="shared" si="78"/>
        <v>平成6年9月14日</v>
      </c>
      <c r="I2384" s="22">
        <f t="shared" si="77"/>
        <v>34591</v>
      </c>
      <c r="J2384" s="1" t="str">
        <f>"00736663"</f>
        <v>00736663</v>
      </c>
      <c r="K2384" s="1" t="str">
        <f>"４１０　　　　　　　　　　　　　　　　　"</f>
        <v>４１０　　　　　　　　　　　　　　　　　</v>
      </c>
      <c r="L2384" s="1"/>
    </row>
    <row r="2385" spans="1:12" ht="18" customHeight="1" x14ac:dyDescent="0.15">
      <c r="A2385" s="11">
        <v>223</v>
      </c>
      <c r="B2385" s="11" t="s">
        <v>63</v>
      </c>
      <c r="C2385" s="11" t="s">
        <v>64</v>
      </c>
      <c r="D2385" s="11">
        <v>1</v>
      </c>
      <c r="E2385" s="11" t="s">
        <v>4</v>
      </c>
      <c r="F2385" s="12">
        <v>163800</v>
      </c>
      <c r="G2385" s="12">
        <v>163800</v>
      </c>
      <c r="H2385" s="11" t="str">
        <f t="shared" si="78"/>
        <v>平成6年9月14日</v>
      </c>
      <c r="I2385" s="22">
        <f t="shared" si="77"/>
        <v>34591</v>
      </c>
      <c r="J2385" s="1" t="str">
        <f>"00736665"</f>
        <v>00736665</v>
      </c>
      <c r="K2385" s="1" t="str">
        <f>"４１１　　　　　　　　　　　　　　　　　"</f>
        <v>４１１　　　　　　　　　　　　　　　　　</v>
      </c>
      <c r="L2385" s="1"/>
    </row>
    <row r="2386" spans="1:12" ht="18" customHeight="1" x14ac:dyDescent="0.15">
      <c r="A2386" s="11">
        <v>224</v>
      </c>
      <c r="B2386" s="11" t="s">
        <v>63</v>
      </c>
      <c r="C2386" s="11" t="s">
        <v>64</v>
      </c>
      <c r="D2386" s="11">
        <v>1</v>
      </c>
      <c r="E2386" s="11" t="s">
        <v>4</v>
      </c>
      <c r="F2386" s="12">
        <v>163800</v>
      </c>
      <c r="G2386" s="12">
        <v>163800</v>
      </c>
      <c r="H2386" s="11" t="str">
        <f t="shared" si="78"/>
        <v>平成6年9月14日</v>
      </c>
      <c r="I2386" s="22">
        <f t="shared" ref="I2386:I2449" si="79">DATEVALUE(H2386)</f>
        <v>34591</v>
      </c>
      <c r="J2386" s="1" t="str">
        <f>"00736667"</f>
        <v>00736667</v>
      </c>
      <c r="K2386" s="1" t="str">
        <f>"４１２　　　　　　　　　　　　　　　　　"</f>
        <v>４１２　　　　　　　　　　　　　　　　　</v>
      </c>
      <c r="L2386" s="1"/>
    </row>
    <row r="2387" spans="1:12" ht="18" customHeight="1" x14ac:dyDescent="0.15">
      <c r="A2387" s="11">
        <v>225</v>
      </c>
      <c r="B2387" s="11" t="s">
        <v>63</v>
      </c>
      <c r="C2387" s="11" t="s">
        <v>64</v>
      </c>
      <c r="D2387" s="11">
        <v>1</v>
      </c>
      <c r="E2387" s="11" t="s">
        <v>4</v>
      </c>
      <c r="F2387" s="12">
        <v>163800</v>
      </c>
      <c r="G2387" s="12">
        <v>163800</v>
      </c>
      <c r="H2387" s="11" t="str">
        <f t="shared" si="78"/>
        <v>平成6年9月14日</v>
      </c>
      <c r="I2387" s="22">
        <f t="shared" si="79"/>
        <v>34591</v>
      </c>
      <c r="J2387" s="1" t="str">
        <f>"00736669"</f>
        <v>00736669</v>
      </c>
      <c r="K2387" s="1" t="str">
        <f>"４１３　　　　　　　　　　　　　　　　　"</f>
        <v>４１３　　　　　　　　　　　　　　　　　</v>
      </c>
      <c r="L2387" s="1"/>
    </row>
    <row r="2388" spans="1:12" ht="18" customHeight="1" x14ac:dyDescent="0.15">
      <c r="A2388" s="11">
        <v>226</v>
      </c>
      <c r="B2388" s="11" t="s">
        <v>63</v>
      </c>
      <c r="C2388" s="11" t="s">
        <v>64</v>
      </c>
      <c r="D2388" s="11">
        <v>1</v>
      </c>
      <c r="E2388" s="11" t="s">
        <v>4</v>
      </c>
      <c r="F2388" s="12">
        <v>163800</v>
      </c>
      <c r="G2388" s="12">
        <v>163800</v>
      </c>
      <c r="H2388" s="11" t="str">
        <f t="shared" si="78"/>
        <v>平成6年9月14日</v>
      </c>
      <c r="I2388" s="22">
        <f t="shared" si="79"/>
        <v>34591</v>
      </c>
      <c r="J2388" s="1" t="str">
        <f>"00736671"</f>
        <v>00736671</v>
      </c>
      <c r="K2388" s="1" t="str">
        <f>"４１４　　　　　　　　　　　　　　　　　"</f>
        <v>４１４　　　　　　　　　　　　　　　　　</v>
      </c>
      <c r="L2388" s="1"/>
    </row>
    <row r="2389" spans="1:12" ht="18" customHeight="1" x14ac:dyDescent="0.15">
      <c r="A2389" s="11">
        <v>227</v>
      </c>
      <c r="B2389" s="11" t="s">
        <v>63</v>
      </c>
      <c r="C2389" s="11" t="s">
        <v>64</v>
      </c>
      <c r="D2389" s="11">
        <v>1</v>
      </c>
      <c r="E2389" s="11" t="s">
        <v>4</v>
      </c>
      <c r="F2389" s="12">
        <v>163800</v>
      </c>
      <c r="G2389" s="12">
        <v>163800</v>
      </c>
      <c r="H2389" s="11" t="str">
        <f t="shared" si="78"/>
        <v>平成6年9月14日</v>
      </c>
      <c r="I2389" s="22">
        <f t="shared" si="79"/>
        <v>34591</v>
      </c>
      <c r="J2389" s="1" t="str">
        <f>"00736673"</f>
        <v>00736673</v>
      </c>
      <c r="K2389" s="1" t="str">
        <f>"４１５　　　　　　　　　　　　　　　　　"</f>
        <v>４１５　　　　　　　　　　　　　　　　　</v>
      </c>
      <c r="L2389" s="1"/>
    </row>
    <row r="2390" spans="1:12" ht="18" customHeight="1" x14ac:dyDescent="0.15">
      <c r="A2390" s="11">
        <v>228</v>
      </c>
      <c r="B2390" s="11" t="s">
        <v>63</v>
      </c>
      <c r="C2390" s="11" t="s">
        <v>64</v>
      </c>
      <c r="D2390" s="11">
        <v>1</v>
      </c>
      <c r="E2390" s="11" t="s">
        <v>4</v>
      </c>
      <c r="F2390" s="12">
        <v>159000</v>
      </c>
      <c r="G2390" s="12">
        <v>159000</v>
      </c>
      <c r="H2390" s="11" t="str">
        <f t="shared" si="78"/>
        <v>平成6年9月14日</v>
      </c>
      <c r="I2390" s="22">
        <f t="shared" si="79"/>
        <v>34591</v>
      </c>
      <c r="J2390" s="1" t="str">
        <f>"00736675"</f>
        <v>00736675</v>
      </c>
      <c r="K2390" s="1" t="str">
        <f>"４１６　　　　　　　　　　　　　　　　　"</f>
        <v>４１６　　　　　　　　　　　　　　　　　</v>
      </c>
      <c r="L2390" s="1"/>
    </row>
    <row r="2391" spans="1:12" ht="18" customHeight="1" x14ac:dyDescent="0.15">
      <c r="A2391" s="11">
        <v>229</v>
      </c>
      <c r="B2391" s="11" t="s">
        <v>63</v>
      </c>
      <c r="C2391" s="11" t="s">
        <v>124</v>
      </c>
      <c r="D2391" s="11">
        <v>1</v>
      </c>
      <c r="E2391" s="11" t="s">
        <v>4</v>
      </c>
      <c r="F2391" s="12">
        <v>84000</v>
      </c>
      <c r="G2391" s="12">
        <v>84000</v>
      </c>
      <c r="H2391" s="11" t="str">
        <f t="shared" si="78"/>
        <v>平成6年9月14日</v>
      </c>
      <c r="I2391" s="22">
        <f t="shared" si="79"/>
        <v>34591</v>
      </c>
      <c r="J2391" s="1" t="str">
        <f>"00736677"</f>
        <v>00736677</v>
      </c>
      <c r="K2391" s="1" t="str">
        <f>"４１８　　　　　　　　　　　　　　　　　"</f>
        <v>４１８　　　　　　　　　　　　　　　　　</v>
      </c>
      <c r="L2391" s="1"/>
    </row>
    <row r="2392" spans="1:12" ht="18" customHeight="1" x14ac:dyDescent="0.15">
      <c r="A2392" s="11">
        <v>230</v>
      </c>
      <c r="B2392" s="11" t="s">
        <v>63</v>
      </c>
      <c r="C2392" s="11" t="s">
        <v>124</v>
      </c>
      <c r="D2392" s="11">
        <v>1</v>
      </c>
      <c r="E2392" s="11" t="s">
        <v>4</v>
      </c>
      <c r="F2392" s="12">
        <v>84000</v>
      </c>
      <c r="G2392" s="12">
        <v>84000</v>
      </c>
      <c r="H2392" s="11" t="str">
        <f t="shared" si="78"/>
        <v>平成6年9月14日</v>
      </c>
      <c r="I2392" s="22">
        <f t="shared" si="79"/>
        <v>34591</v>
      </c>
      <c r="J2392" s="1" t="str">
        <f>"00736679"</f>
        <v>00736679</v>
      </c>
      <c r="K2392" s="1" t="str">
        <f>"４１９　　　　　　　　　　　　　　　　　"</f>
        <v>４１９　　　　　　　　　　　　　　　　　</v>
      </c>
      <c r="L2392" s="1"/>
    </row>
    <row r="2393" spans="1:12" ht="18" customHeight="1" x14ac:dyDescent="0.15">
      <c r="A2393" s="11">
        <v>231</v>
      </c>
      <c r="B2393" s="11" t="s">
        <v>63</v>
      </c>
      <c r="C2393" s="11" t="s">
        <v>124</v>
      </c>
      <c r="D2393" s="11">
        <v>1</v>
      </c>
      <c r="E2393" s="11" t="s">
        <v>4</v>
      </c>
      <c r="F2393" s="12">
        <v>84000</v>
      </c>
      <c r="G2393" s="12">
        <v>84000</v>
      </c>
      <c r="H2393" s="11" t="str">
        <f t="shared" si="78"/>
        <v>平成6年9月14日</v>
      </c>
      <c r="I2393" s="22">
        <f t="shared" si="79"/>
        <v>34591</v>
      </c>
      <c r="J2393" s="1" t="str">
        <f>"00736681"</f>
        <v>00736681</v>
      </c>
      <c r="K2393" s="1" t="str">
        <f>"４２０　　　　　　　　　　　　　　　　　"</f>
        <v>４２０　　　　　　　　　　　　　　　　　</v>
      </c>
      <c r="L2393" s="1"/>
    </row>
    <row r="2394" spans="1:12" ht="18" customHeight="1" x14ac:dyDescent="0.15">
      <c r="A2394" s="11">
        <v>232</v>
      </c>
      <c r="B2394" s="11" t="s">
        <v>63</v>
      </c>
      <c r="C2394" s="11" t="s">
        <v>124</v>
      </c>
      <c r="D2394" s="11">
        <v>1</v>
      </c>
      <c r="E2394" s="11" t="s">
        <v>4</v>
      </c>
      <c r="F2394" s="12">
        <v>84000</v>
      </c>
      <c r="G2394" s="12">
        <v>84000</v>
      </c>
      <c r="H2394" s="11" t="str">
        <f t="shared" si="78"/>
        <v>平成6年9月14日</v>
      </c>
      <c r="I2394" s="22">
        <f t="shared" si="79"/>
        <v>34591</v>
      </c>
      <c r="J2394" s="1" t="str">
        <f>"00736683"</f>
        <v>00736683</v>
      </c>
      <c r="K2394" s="1" t="str">
        <f>"４２１　　　　　　　　　　　　　　　　　"</f>
        <v>４２１　　　　　　　　　　　　　　　　　</v>
      </c>
      <c r="L2394" s="1"/>
    </row>
    <row r="2395" spans="1:12" ht="18" customHeight="1" x14ac:dyDescent="0.15">
      <c r="A2395" s="11">
        <v>233</v>
      </c>
      <c r="B2395" s="11" t="s">
        <v>63</v>
      </c>
      <c r="C2395" s="11" t="s">
        <v>125</v>
      </c>
      <c r="D2395" s="11">
        <v>1</v>
      </c>
      <c r="E2395" s="11" t="s">
        <v>4</v>
      </c>
      <c r="F2395" s="12">
        <v>55350</v>
      </c>
      <c r="G2395" s="12">
        <v>55350</v>
      </c>
      <c r="H2395" s="11" t="str">
        <f t="shared" si="78"/>
        <v>平成6年9月14日</v>
      </c>
      <c r="I2395" s="22">
        <f t="shared" si="79"/>
        <v>34591</v>
      </c>
      <c r="J2395" s="1" t="str">
        <f>"00736685"</f>
        <v>00736685</v>
      </c>
      <c r="K2395" s="1" t="str">
        <f>"４２２　　　　　　　　　　　　　　　　　"</f>
        <v>４２２　　　　　　　　　　　　　　　　　</v>
      </c>
      <c r="L2395" s="1"/>
    </row>
    <row r="2396" spans="1:12" ht="18" customHeight="1" x14ac:dyDescent="0.15">
      <c r="A2396" s="11">
        <v>234</v>
      </c>
      <c r="B2396" s="11" t="s">
        <v>63</v>
      </c>
      <c r="C2396" s="11" t="s">
        <v>125</v>
      </c>
      <c r="D2396" s="11">
        <v>1</v>
      </c>
      <c r="E2396" s="11" t="s">
        <v>4</v>
      </c>
      <c r="F2396" s="12">
        <v>55350</v>
      </c>
      <c r="G2396" s="12">
        <v>55350</v>
      </c>
      <c r="H2396" s="11" t="str">
        <f t="shared" si="78"/>
        <v>平成6年9月14日</v>
      </c>
      <c r="I2396" s="22">
        <f t="shared" si="79"/>
        <v>34591</v>
      </c>
      <c r="J2396" s="1" t="str">
        <f>"00736687"</f>
        <v>00736687</v>
      </c>
      <c r="K2396" s="1" t="str">
        <f>"４２３　　　　　　　　　　　　　　　　　"</f>
        <v>４２３　　　　　　　　　　　　　　　　　</v>
      </c>
      <c r="L2396" s="1"/>
    </row>
    <row r="2397" spans="1:12" ht="18" customHeight="1" x14ac:dyDescent="0.15">
      <c r="A2397" s="11">
        <v>235</v>
      </c>
      <c r="B2397" s="11" t="s">
        <v>63</v>
      </c>
      <c r="C2397" s="11" t="s">
        <v>125</v>
      </c>
      <c r="D2397" s="11">
        <v>1</v>
      </c>
      <c r="E2397" s="11" t="s">
        <v>4</v>
      </c>
      <c r="F2397" s="12">
        <v>55350</v>
      </c>
      <c r="G2397" s="12">
        <v>55350</v>
      </c>
      <c r="H2397" s="11" t="str">
        <f t="shared" si="78"/>
        <v>平成6年9月14日</v>
      </c>
      <c r="I2397" s="22">
        <f t="shared" si="79"/>
        <v>34591</v>
      </c>
      <c r="J2397" s="1" t="str">
        <f>"00736689"</f>
        <v>00736689</v>
      </c>
      <c r="K2397" s="1" t="str">
        <f>"４２４　　　　　　　　　　　　　　　　　"</f>
        <v>４２４　　　　　　　　　　　　　　　　　</v>
      </c>
      <c r="L2397" s="1"/>
    </row>
    <row r="2398" spans="1:12" ht="18" customHeight="1" x14ac:dyDescent="0.15">
      <c r="A2398" s="11">
        <v>236</v>
      </c>
      <c r="B2398" s="11" t="s">
        <v>63</v>
      </c>
      <c r="C2398" s="11" t="s">
        <v>125</v>
      </c>
      <c r="D2398" s="11">
        <v>1</v>
      </c>
      <c r="E2398" s="11" t="s">
        <v>4</v>
      </c>
      <c r="F2398" s="12">
        <v>55350</v>
      </c>
      <c r="G2398" s="12">
        <v>55350</v>
      </c>
      <c r="H2398" s="11" t="str">
        <f t="shared" si="78"/>
        <v>平成6年9月14日</v>
      </c>
      <c r="I2398" s="22">
        <f t="shared" si="79"/>
        <v>34591</v>
      </c>
      <c r="J2398" s="1" t="str">
        <f>"00736691"</f>
        <v>00736691</v>
      </c>
      <c r="K2398" s="1" t="str">
        <f>"４２５　　　　　　　　　　　　　　　　　"</f>
        <v>４２５　　　　　　　　　　　　　　　　　</v>
      </c>
      <c r="L2398" s="1"/>
    </row>
    <row r="2399" spans="1:12" ht="18" customHeight="1" x14ac:dyDescent="0.15">
      <c r="A2399" s="11">
        <v>237</v>
      </c>
      <c r="B2399" s="11" t="s">
        <v>63</v>
      </c>
      <c r="C2399" s="11" t="s">
        <v>125</v>
      </c>
      <c r="D2399" s="11">
        <v>1</v>
      </c>
      <c r="E2399" s="11" t="s">
        <v>4</v>
      </c>
      <c r="F2399" s="12">
        <v>55350</v>
      </c>
      <c r="G2399" s="12">
        <v>55350</v>
      </c>
      <c r="H2399" s="11" t="str">
        <f t="shared" si="78"/>
        <v>平成6年9月14日</v>
      </c>
      <c r="I2399" s="22">
        <f t="shared" si="79"/>
        <v>34591</v>
      </c>
      <c r="J2399" s="1" t="str">
        <f>"00736693"</f>
        <v>00736693</v>
      </c>
      <c r="K2399" s="1" t="str">
        <f>"４２６　　　　　　　　　　　　　　　　　"</f>
        <v>４２６　　　　　　　　　　　　　　　　　</v>
      </c>
      <c r="L2399" s="1"/>
    </row>
    <row r="2400" spans="1:12" ht="18" customHeight="1" x14ac:dyDescent="0.15">
      <c r="A2400" s="11">
        <v>238</v>
      </c>
      <c r="B2400" s="11" t="s">
        <v>63</v>
      </c>
      <c r="C2400" s="11" t="s">
        <v>125</v>
      </c>
      <c r="D2400" s="11">
        <v>1</v>
      </c>
      <c r="E2400" s="11" t="s">
        <v>4</v>
      </c>
      <c r="F2400" s="12">
        <v>55350</v>
      </c>
      <c r="G2400" s="12">
        <v>55350</v>
      </c>
      <c r="H2400" s="11" t="str">
        <f t="shared" si="78"/>
        <v>平成6年9月14日</v>
      </c>
      <c r="I2400" s="22">
        <f t="shared" si="79"/>
        <v>34591</v>
      </c>
      <c r="J2400" s="1" t="str">
        <f>"00736695"</f>
        <v>00736695</v>
      </c>
      <c r="K2400" s="1" t="str">
        <f>"４２７　　　　　　　　　　　　　　　　　"</f>
        <v>４２７　　　　　　　　　　　　　　　　　</v>
      </c>
      <c r="L2400" s="1"/>
    </row>
    <row r="2401" spans="1:12" ht="18" customHeight="1" x14ac:dyDescent="0.15">
      <c r="A2401" s="11">
        <v>239</v>
      </c>
      <c r="B2401" s="11" t="s">
        <v>63</v>
      </c>
      <c r="C2401" s="11" t="s">
        <v>125</v>
      </c>
      <c r="D2401" s="11">
        <v>1</v>
      </c>
      <c r="E2401" s="11" t="s">
        <v>4</v>
      </c>
      <c r="F2401" s="12">
        <v>55350</v>
      </c>
      <c r="G2401" s="12">
        <v>55350</v>
      </c>
      <c r="H2401" s="11" t="str">
        <f t="shared" si="78"/>
        <v>平成6年9月14日</v>
      </c>
      <c r="I2401" s="22">
        <f t="shared" si="79"/>
        <v>34591</v>
      </c>
      <c r="J2401" s="1" t="str">
        <f>"00736697"</f>
        <v>00736697</v>
      </c>
      <c r="K2401" s="1" t="str">
        <f>"４２８　　　　　　　　　　　　　　　　　"</f>
        <v>４２８　　　　　　　　　　　　　　　　　</v>
      </c>
      <c r="L2401" s="1"/>
    </row>
    <row r="2402" spans="1:12" ht="18" customHeight="1" x14ac:dyDescent="0.15">
      <c r="A2402" s="11">
        <v>240</v>
      </c>
      <c r="B2402" s="11" t="s">
        <v>63</v>
      </c>
      <c r="C2402" s="11" t="s">
        <v>125</v>
      </c>
      <c r="D2402" s="11">
        <v>1</v>
      </c>
      <c r="E2402" s="11" t="s">
        <v>4</v>
      </c>
      <c r="F2402" s="12">
        <v>55350</v>
      </c>
      <c r="G2402" s="12">
        <v>55350</v>
      </c>
      <c r="H2402" s="11" t="str">
        <f t="shared" si="78"/>
        <v>平成6年9月14日</v>
      </c>
      <c r="I2402" s="22">
        <f t="shared" si="79"/>
        <v>34591</v>
      </c>
      <c r="J2402" s="1" t="str">
        <f>"00736699"</f>
        <v>00736699</v>
      </c>
      <c r="K2402" s="1" t="str">
        <f>"４２９　　　　　　　　　　　　　　　　　"</f>
        <v>４２９　　　　　　　　　　　　　　　　　</v>
      </c>
      <c r="L2402" s="1"/>
    </row>
    <row r="2403" spans="1:12" ht="18" customHeight="1" x14ac:dyDescent="0.15">
      <c r="A2403" s="11">
        <v>241</v>
      </c>
      <c r="B2403" s="11" t="s">
        <v>63</v>
      </c>
      <c r="C2403" s="11" t="s">
        <v>125</v>
      </c>
      <c r="D2403" s="11">
        <v>1</v>
      </c>
      <c r="E2403" s="11" t="s">
        <v>4</v>
      </c>
      <c r="F2403" s="12">
        <v>55350</v>
      </c>
      <c r="G2403" s="12">
        <v>55350</v>
      </c>
      <c r="H2403" s="11" t="str">
        <f t="shared" si="78"/>
        <v>平成6年9月14日</v>
      </c>
      <c r="I2403" s="22">
        <f t="shared" si="79"/>
        <v>34591</v>
      </c>
      <c r="J2403" s="1" t="str">
        <f>"00736701"</f>
        <v>00736701</v>
      </c>
      <c r="K2403" s="1" t="str">
        <f>"４３０　　　　　　　　　　　　　　　　　"</f>
        <v>４３０　　　　　　　　　　　　　　　　　</v>
      </c>
      <c r="L2403" s="1"/>
    </row>
    <row r="2404" spans="1:12" ht="18" customHeight="1" x14ac:dyDescent="0.15">
      <c r="A2404" s="11">
        <v>242</v>
      </c>
      <c r="B2404" s="11" t="s">
        <v>63</v>
      </c>
      <c r="C2404" s="11" t="s">
        <v>125</v>
      </c>
      <c r="D2404" s="11">
        <v>1</v>
      </c>
      <c r="E2404" s="11" t="s">
        <v>4</v>
      </c>
      <c r="F2404" s="12">
        <v>55350</v>
      </c>
      <c r="G2404" s="12">
        <v>55350</v>
      </c>
      <c r="H2404" s="11" t="str">
        <f t="shared" si="78"/>
        <v>平成6年9月14日</v>
      </c>
      <c r="I2404" s="22">
        <f t="shared" si="79"/>
        <v>34591</v>
      </c>
      <c r="J2404" s="1" t="str">
        <f>"00736703"</f>
        <v>00736703</v>
      </c>
      <c r="K2404" s="1" t="str">
        <f>"４３１　　　　　　　　　　　　　　　　　"</f>
        <v>４３１　　　　　　　　　　　　　　　　　</v>
      </c>
      <c r="L2404" s="1"/>
    </row>
    <row r="2405" spans="1:12" ht="18" customHeight="1" x14ac:dyDescent="0.15">
      <c r="A2405" s="11">
        <v>243</v>
      </c>
      <c r="B2405" s="11" t="s">
        <v>63</v>
      </c>
      <c r="C2405" s="11" t="s">
        <v>125</v>
      </c>
      <c r="D2405" s="11">
        <v>1</v>
      </c>
      <c r="E2405" s="11" t="s">
        <v>4</v>
      </c>
      <c r="F2405" s="12">
        <v>55350</v>
      </c>
      <c r="G2405" s="12">
        <v>55350</v>
      </c>
      <c r="H2405" s="11" t="str">
        <f t="shared" si="78"/>
        <v>平成6年9月14日</v>
      </c>
      <c r="I2405" s="22">
        <f t="shared" si="79"/>
        <v>34591</v>
      </c>
      <c r="J2405" s="1" t="str">
        <f>"00736705"</f>
        <v>00736705</v>
      </c>
      <c r="K2405" s="1" t="str">
        <f>"４３２　　　　　　　　　　　　　　　　　"</f>
        <v>４３２　　　　　　　　　　　　　　　　　</v>
      </c>
      <c r="L2405" s="1"/>
    </row>
    <row r="2406" spans="1:12" ht="18" customHeight="1" x14ac:dyDescent="0.15">
      <c r="A2406" s="11">
        <v>244</v>
      </c>
      <c r="B2406" s="11" t="s">
        <v>63</v>
      </c>
      <c r="C2406" s="11" t="s">
        <v>126</v>
      </c>
      <c r="D2406" s="11">
        <v>1</v>
      </c>
      <c r="E2406" s="11" t="s">
        <v>4</v>
      </c>
      <c r="F2406" s="12">
        <v>28300</v>
      </c>
      <c r="G2406" s="12">
        <v>28300</v>
      </c>
      <c r="H2406" s="11" t="str">
        <f t="shared" si="78"/>
        <v>平成6年9月14日</v>
      </c>
      <c r="I2406" s="22">
        <f t="shared" si="79"/>
        <v>34591</v>
      </c>
      <c r="J2406" s="1" t="str">
        <f>"00736707"</f>
        <v>00736707</v>
      </c>
      <c r="K2406" s="1" t="str">
        <f>"４３３　　　　　　　　　　　　　　　　　"</f>
        <v>４３３　　　　　　　　　　　　　　　　　</v>
      </c>
      <c r="L2406" s="1"/>
    </row>
    <row r="2407" spans="1:12" ht="18" customHeight="1" x14ac:dyDescent="0.15">
      <c r="A2407" s="11">
        <v>245</v>
      </c>
      <c r="B2407" s="11" t="s">
        <v>63</v>
      </c>
      <c r="C2407" s="11" t="s">
        <v>126</v>
      </c>
      <c r="D2407" s="11">
        <v>1</v>
      </c>
      <c r="E2407" s="11" t="s">
        <v>4</v>
      </c>
      <c r="F2407" s="12">
        <v>28300</v>
      </c>
      <c r="G2407" s="12">
        <v>28300</v>
      </c>
      <c r="H2407" s="11" t="str">
        <f t="shared" si="78"/>
        <v>平成6年9月14日</v>
      </c>
      <c r="I2407" s="22">
        <f t="shared" si="79"/>
        <v>34591</v>
      </c>
      <c r="J2407" s="1" t="str">
        <f>"00736709"</f>
        <v>00736709</v>
      </c>
      <c r="K2407" s="1" t="str">
        <f>"４３４　　　　　　　　　　　　　　　　　"</f>
        <v>４３４　　　　　　　　　　　　　　　　　</v>
      </c>
      <c r="L2407" s="1"/>
    </row>
    <row r="2408" spans="1:12" ht="18" customHeight="1" x14ac:dyDescent="0.15">
      <c r="A2408" s="11">
        <v>246</v>
      </c>
      <c r="B2408" s="11" t="s">
        <v>63</v>
      </c>
      <c r="C2408" s="11" t="s">
        <v>126</v>
      </c>
      <c r="D2408" s="11">
        <v>1</v>
      </c>
      <c r="E2408" s="11" t="s">
        <v>4</v>
      </c>
      <c r="F2408" s="12">
        <v>28300</v>
      </c>
      <c r="G2408" s="12">
        <v>28300</v>
      </c>
      <c r="H2408" s="11" t="str">
        <f t="shared" si="78"/>
        <v>平成6年9月14日</v>
      </c>
      <c r="I2408" s="22">
        <f t="shared" si="79"/>
        <v>34591</v>
      </c>
      <c r="J2408" s="1" t="str">
        <f>"00736711"</f>
        <v>00736711</v>
      </c>
      <c r="K2408" s="1" t="str">
        <f>"４３５　　　　　　　　　　　　　　　　　"</f>
        <v>４３５　　　　　　　　　　　　　　　　　</v>
      </c>
      <c r="L2408" s="1"/>
    </row>
    <row r="2409" spans="1:12" ht="18" customHeight="1" x14ac:dyDescent="0.15">
      <c r="A2409" s="11">
        <v>247</v>
      </c>
      <c r="B2409" s="11" t="s">
        <v>63</v>
      </c>
      <c r="C2409" s="11" t="s">
        <v>126</v>
      </c>
      <c r="D2409" s="11">
        <v>1</v>
      </c>
      <c r="E2409" s="11" t="s">
        <v>4</v>
      </c>
      <c r="F2409" s="12">
        <v>28300</v>
      </c>
      <c r="G2409" s="12">
        <v>28300</v>
      </c>
      <c r="H2409" s="11" t="str">
        <f t="shared" si="78"/>
        <v>平成6年9月14日</v>
      </c>
      <c r="I2409" s="22">
        <f t="shared" si="79"/>
        <v>34591</v>
      </c>
      <c r="J2409" s="1" t="str">
        <f>"00736713"</f>
        <v>00736713</v>
      </c>
      <c r="K2409" s="1" t="str">
        <f>"４３６　　　　　　　　　　　　　　　　　"</f>
        <v>４３６　　　　　　　　　　　　　　　　　</v>
      </c>
      <c r="L2409" s="1"/>
    </row>
    <row r="2410" spans="1:12" ht="18" customHeight="1" x14ac:dyDescent="0.15">
      <c r="A2410" s="11">
        <v>248</v>
      </c>
      <c r="B2410" s="11" t="s">
        <v>63</v>
      </c>
      <c r="C2410" s="11" t="s">
        <v>126</v>
      </c>
      <c r="D2410" s="11">
        <v>1</v>
      </c>
      <c r="E2410" s="11" t="s">
        <v>4</v>
      </c>
      <c r="F2410" s="12">
        <v>28300</v>
      </c>
      <c r="G2410" s="12">
        <v>28300</v>
      </c>
      <c r="H2410" s="11" t="str">
        <f t="shared" si="78"/>
        <v>平成6年9月14日</v>
      </c>
      <c r="I2410" s="22">
        <f t="shared" si="79"/>
        <v>34591</v>
      </c>
      <c r="J2410" s="1" t="str">
        <f>"00736715"</f>
        <v>00736715</v>
      </c>
      <c r="K2410" s="1" t="str">
        <f>"４３７　　　　　　　　　　　　　　　　　"</f>
        <v>４３７　　　　　　　　　　　　　　　　　</v>
      </c>
      <c r="L2410" s="1"/>
    </row>
    <row r="2411" spans="1:12" ht="18" customHeight="1" x14ac:dyDescent="0.15">
      <c r="A2411" s="11">
        <v>249</v>
      </c>
      <c r="B2411" s="11" t="s">
        <v>63</v>
      </c>
      <c r="C2411" s="11" t="s">
        <v>126</v>
      </c>
      <c r="D2411" s="11">
        <v>1</v>
      </c>
      <c r="E2411" s="11" t="s">
        <v>4</v>
      </c>
      <c r="F2411" s="12">
        <v>28300</v>
      </c>
      <c r="G2411" s="12">
        <v>28300</v>
      </c>
      <c r="H2411" s="11" t="str">
        <f t="shared" si="78"/>
        <v>平成6年9月14日</v>
      </c>
      <c r="I2411" s="22">
        <f t="shared" si="79"/>
        <v>34591</v>
      </c>
      <c r="J2411" s="1" t="str">
        <f>"00736717"</f>
        <v>00736717</v>
      </c>
      <c r="K2411" s="1" t="str">
        <f>"４３８　　　　　　　　　　　　　　　　　"</f>
        <v>４３８　　　　　　　　　　　　　　　　　</v>
      </c>
      <c r="L2411" s="1"/>
    </row>
    <row r="2412" spans="1:12" ht="18" customHeight="1" x14ac:dyDescent="0.15">
      <c r="A2412" s="11">
        <v>250</v>
      </c>
      <c r="B2412" s="11" t="s">
        <v>63</v>
      </c>
      <c r="C2412" s="11" t="s">
        <v>127</v>
      </c>
      <c r="D2412" s="11">
        <v>1</v>
      </c>
      <c r="E2412" s="11" t="s">
        <v>4</v>
      </c>
      <c r="F2412" s="12">
        <v>20000</v>
      </c>
      <c r="G2412" s="12">
        <v>20000</v>
      </c>
      <c r="H2412" s="11" t="str">
        <f t="shared" si="78"/>
        <v>平成6年9月14日</v>
      </c>
      <c r="I2412" s="22">
        <f t="shared" si="79"/>
        <v>34591</v>
      </c>
      <c r="J2412" s="1" t="str">
        <f>"00736719"</f>
        <v>00736719</v>
      </c>
      <c r="K2412" s="1" t="str">
        <f>"４３９　　　　　　　　　　　　　　　　　"</f>
        <v>４３９　　　　　　　　　　　　　　　　　</v>
      </c>
      <c r="L2412" s="1"/>
    </row>
    <row r="2413" spans="1:12" ht="18" customHeight="1" x14ac:dyDescent="0.15">
      <c r="A2413" s="11">
        <v>251</v>
      </c>
      <c r="B2413" s="11" t="s">
        <v>63</v>
      </c>
      <c r="C2413" s="11" t="s">
        <v>127</v>
      </c>
      <c r="D2413" s="11">
        <v>1</v>
      </c>
      <c r="E2413" s="11" t="s">
        <v>4</v>
      </c>
      <c r="F2413" s="12">
        <v>20000</v>
      </c>
      <c r="G2413" s="12">
        <v>20000</v>
      </c>
      <c r="H2413" s="11" t="str">
        <f t="shared" si="78"/>
        <v>平成6年9月14日</v>
      </c>
      <c r="I2413" s="22">
        <f t="shared" si="79"/>
        <v>34591</v>
      </c>
      <c r="J2413" s="1" t="str">
        <f>"00736721"</f>
        <v>00736721</v>
      </c>
      <c r="K2413" s="1" t="str">
        <f>"４４０　　　　　　　　　　　　　　　　　"</f>
        <v>４４０　　　　　　　　　　　　　　　　　</v>
      </c>
      <c r="L2413" s="1"/>
    </row>
    <row r="2414" spans="1:12" ht="18" customHeight="1" x14ac:dyDescent="0.15">
      <c r="A2414" s="11">
        <v>252</v>
      </c>
      <c r="B2414" s="11" t="s">
        <v>63</v>
      </c>
      <c r="C2414" s="11" t="s">
        <v>128</v>
      </c>
      <c r="D2414" s="11">
        <v>1</v>
      </c>
      <c r="E2414" s="11" t="s">
        <v>4</v>
      </c>
      <c r="F2414" s="12">
        <v>133000</v>
      </c>
      <c r="G2414" s="12">
        <v>133000</v>
      </c>
      <c r="H2414" s="11" t="str">
        <f t="shared" si="78"/>
        <v>平成6年9月14日</v>
      </c>
      <c r="I2414" s="22">
        <f t="shared" si="79"/>
        <v>34591</v>
      </c>
      <c r="J2414" s="1" t="str">
        <f>"00736723"</f>
        <v>00736723</v>
      </c>
      <c r="K2414" s="1" t="str">
        <f>"４４１　　　　　　　　　　　　　　　　　"</f>
        <v>４４１　　　　　　　　　　　　　　　　　</v>
      </c>
      <c r="L2414" s="1"/>
    </row>
    <row r="2415" spans="1:12" ht="18" customHeight="1" x14ac:dyDescent="0.15">
      <c r="A2415" s="11">
        <v>253</v>
      </c>
      <c r="B2415" s="11" t="s">
        <v>63</v>
      </c>
      <c r="C2415" s="11" t="s">
        <v>129</v>
      </c>
      <c r="D2415" s="11">
        <v>1</v>
      </c>
      <c r="E2415" s="11" t="s">
        <v>4</v>
      </c>
      <c r="F2415" s="12">
        <v>93400</v>
      </c>
      <c r="G2415" s="12">
        <v>93400</v>
      </c>
      <c r="H2415" s="11" t="str">
        <f t="shared" si="78"/>
        <v>平成6年9月14日</v>
      </c>
      <c r="I2415" s="22">
        <f t="shared" si="79"/>
        <v>34591</v>
      </c>
      <c r="J2415" s="1" t="str">
        <f>"00736725"</f>
        <v>00736725</v>
      </c>
      <c r="K2415" s="1" t="str">
        <f>"４４２　　　　　　　　　　　　　　　　　"</f>
        <v>４４２　　　　　　　　　　　　　　　　　</v>
      </c>
      <c r="L2415" s="1"/>
    </row>
    <row r="2416" spans="1:12" ht="18" customHeight="1" x14ac:dyDescent="0.15">
      <c r="A2416" s="11">
        <v>254</v>
      </c>
      <c r="B2416" s="11" t="s">
        <v>63</v>
      </c>
      <c r="C2416" s="11" t="s">
        <v>129</v>
      </c>
      <c r="D2416" s="11">
        <v>1</v>
      </c>
      <c r="E2416" s="11" t="s">
        <v>4</v>
      </c>
      <c r="F2416" s="12">
        <v>93400</v>
      </c>
      <c r="G2416" s="12">
        <v>93400</v>
      </c>
      <c r="H2416" s="11" t="str">
        <f t="shared" si="78"/>
        <v>平成6年9月14日</v>
      </c>
      <c r="I2416" s="22">
        <f t="shared" si="79"/>
        <v>34591</v>
      </c>
      <c r="J2416" s="1" t="str">
        <f>"00736727"</f>
        <v>00736727</v>
      </c>
      <c r="K2416" s="1" t="str">
        <f>"４４３　　　　　　　　　　　　　　　　　"</f>
        <v>４４３　　　　　　　　　　　　　　　　　</v>
      </c>
      <c r="L2416" s="1"/>
    </row>
    <row r="2417" spans="1:12" ht="18" customHeight="1" x14ac:dyDescent="0.15">
      <c r="A2417" s="11">
        <v>255</v>
      </c>
      <c r="B2417" s="11" t="s">
        <v>63</v>
      </c>
      <c r="C2417" s="11" t="s">
        <v>129</v>
      </c>
      <c r="D2417" s="11">
        <v>1</v>
      </c>
      <c r="E2417" s="11" t="s">
        <v>4</v>
      </c>
      <c r="F2417" s="12">
        <v>93400</v>
      </c>
      <c r="G2417" s="12">
        <v>93400</v>
      </c>
      <c r="H2417" s="11" t="str">
        <f t="shared" si="78"/>
        <v>平成6年9月14日</v>
      </c>
      <c r="I2417" s="22">
        <f t="shared" si="79"/>
        <v>34591</v>
      </c>
      <c r="J2417" s="1" t="str">
        <f>"00736729"</f>
        <v>00736729</v>
      </c>
      <c r="K2417" s="1" t="str">
        <f>"４４４　　　　　　　　　　　　　　　　　"</f>
        <v>４４４　　　　　　　　　　　　　　　　　</v>
      </c>
      <c r="L2417" s="1"/>
    </row>
    <row r="2418" spans="1:12" ht="18" customHeight="1" x14ac:dyDescent="0.15">
      <c r="A2418" s="11">
        <v>256</v>
      </c>
      <c r="B2418" s="11" t="s">
        <v>63</v>
      </c>
      <c r="C2418" s="11" t="s">
        <v>130</v>
      </c>
      <c r="D2418" s="11">
        <v>1</v>
      </c>
      <c r="E2418" s="11" t="s">
        <v>4</v>
      </c>
      <c r="F2418" s="12">
        <v>27666</v>
      </c>
      <c r="G2418" s="12">
        <v>27666</v>
      </c>
      <c r="H2418" s="11" t="str">
        <f t="shared" si="78"/>
        <v>平成6年9月14日</v>
      </c>
      <c r="I2418" s="22">
        <f t="shared" si="79"/>
        <v>34591</v>
      </c>
      <c r="J2418" s="1" t="str">
        <f>"00736731"</f>
        <v>00736731</v>
      </c>
      <c r="K2418" s="1" t="str">
        <f>"４４７　　　　　　　　　　　　　　　　　"</f>
        <v>４４７　　　　　　　　　　　　　　　　　</v>
      </c>
      <c r="L2418" s="1"/>
    </row>
    <row r="2419" spans="1:12" ht="18" customHeight="1" x14ac:dyDescent="0.15">
      <c r="A2419" s="11">
        <v>257</v>
      </c>
      <c r="B2419" s="11" t="s">
        <v>63</v>
      </c>
      <c r="C2419" s="11" t="s">
        <v>130</v>
      </c>
      <c r="D2419" s="11">
        <v>1</v>
      </c>
      <c r="E2419" s="11" t="s">
        <v>4</v>
      </c>
      <c r="F2419" s="12">
        <v>27666</v>
      </c>
      <c r="G2419" s="12">
        <v>27666</v>
      </c>
      <c r="H2419" s="11" t="str">
        <f t="shared" si="78"/>
        <v>平成6年9月14日</v>
      </c>
      <c r="I2419" s="22">
        <f t="shared" si="79"/>
        <v>34591</v>
      </c>
      <c r="J2419" s="1" t="str">
        <f>"00736733"</f>
        <v>00736733</v>
      </c>
      <c r="K2419" s="1" t="str">
        <f>"４４８　　　　　　　　　　　　　　　　　"</f>
        <v>４４８　　　　　　　　　　　　　　　　　</v>
      </c>
      <c r="L2419" s="1"/>
    </row>
    <row r="2420" spans="1:12" ht="18" customHeight="1" x14ac:dyDescent="0.15">
      <c r="A2420" s="11">
        <v>258</v>
      </c>
      <c r="B2420" s="11" t="s">
        <v>63</v>
      </c>
      <c r="C2420" s="11" t="s">
        <v>130</v>
      </c>
      <c r="D2420" s="11">
        <v>1</v>
      </c>
      <c r="E2420" s="11" t="s">
        <v>4</v>
      </c>
      <c r="F2420" s="12">
        <v>27666</v>
      </c>
      <c r="G2420" s="12">
        <v>27666</v>
      </c>
      <c r="H2420" s="11" t="str">
        <f t="shared" si="78"/>
        <v>平成6年9月14日</v>
      </c>
      <c r="I2420" s="22">
        <f t="shared" si="79"/>
        <v>34591</v>
      </c>
      <c r="J2420" s="1" t="str">
        <f>"00736735"</f>
        <v>00736735</v>
      </c>
      <c r="K2420" s="1" t="str">
        <f>"４４９　　　　　　　　　　　　　　　　　"</f>
        <v>４４９　　　　　　　　　　　　　　　　　</v>
      </c>
      <c r="L2420" s="1"/>
    </row>
    <row r="2421" spans="1:12" ht="18" customHeight="1" x14ac:dyDescent="0.15">
      <c r="A2421" s="11">
        <v>259</v>
      </c>
      <c r="B2421" s="11" t="s">
        <v>63</v>
      </c>
      <c r="C2421" s="11" t="s">
        <v>131</v>
      </c>
      <c r="D2421" s="11">
        <v>1</v>
      </c>
      <c r="E2421" s="11" t="s">
        <v>4</v>
      </c>
      <c r="F2421" s="12">
        <v>23135</v>
      </c>
      <c r="G2421" s="12">
        <v>23135</v>
      </c>
      <c r="H2421" s="11" t="str">
        <f t="shared" si="78"/>
        <v>平成6年9月14日</v>
      </c>
      <c r="I2421" s="22">
        <f t="shared" si="79"/>
        <v>34591</v>
      </c>
      <c r="J2421" s="1" t="str">
        <f>"00736759"</f>
        <v>00736759</v>
      </c>
      <c r="K2421" s="1" t="str">
        <f>"４７２　　　　　　　　　　　　　　　　　"</f>
        <v>４７２　　　　　　　　　　　　　　　　　</v>
      </c>
      <c r="L2421" s="1"/>
    </row>
    <row r="2422" spans="1:12" ht="18" customHeight="1" x14ac:dyDescent="0.15">
      <c r="A2422" s="11">
        <v>260</v>
      </c>
      <c r="B2422" s="11" t="s">
        <v>63</v>
      </c>
      <c r="C2422" s="11" t="s">
        <v>131</v>
      </c>
      <c r="D2422" s="11">
        <v>1</v>
      </c>
      <c r="E2422" s="11" t="s">
        <v>4</v>
      </c>
      <c r="F2422" s="12">
        <v>23135</v>
      </c>
      <c r="G2422" s="12">
        <v>23135</v>
      </c>
      <c r="H2422" s="11" t="str">
        <f t="shared" si="78"/>
        <v>平成6年9月14日</v>
      </c>
      <c r="I2422" s="22">
        <f t="shared" si="79"/>
        <v>34591</v>
      </c>
      <c r="J2422" s="1" t="str">
        <f>"00736763"</f>
        <v>00736763</v>
      </c>
      <c r="K2422" s="1" t="str">
        <f>"４７４　　　　　　　　　　　　　　　　　"</f>
        <v>４７４　　　　　　　　　　　　　　　　　</v>
      </c>
      <c r="L2422" s="1"/>
    </row>
    <row r="2423" spans="1:12" ht="18" customHeight="1" x14ac:dyDescent="0.15">
      <c r="A2423" s="11">
        <v>261</v>
      </c>
      <c r="B2423" s="11" t="s">
        <v>63</v>
      </c>
      <c r="C2423" s="11" t="s">
        <v>131</v>
      </c>
      <c r="D2423" s="11">
        <v>1</v>
      </c>
      <c r="E2423" s="11" t="s">
        <v>4</v>
      </c>
      <c r="F2423" s="12">
        <v>23135</v>
      </c>
      <c r="G2423" s="12">
        <v>23135</v>
      </c>
      <c r="H2423" s="11" t="str">
        <f t="shared" si="78"/>
        <v>平成6年9月14日</v>
      </c>
      <c r="I2423" s="22">
        <f t="shared" si="79"/>
        <v>34591</v>
      </c>
      <c r="J2423" s="1" t="str">
        <f>"00736769"</f>
        <v>00736769</v>
      </c>
      <c r="K2423" s="1" t="str">
        <f>"４７７　　　　　　　　　　　　　　　　　"</f>
        <v>４７７　　　　　　　　　　　　　　　　　</v>
      </c>
      <c r="L2423" s="1"/>
    </row>
    <row r="2424" spans="1:12" ht="18" customHeight="1" x14ac:dyDescent="0.15">
      <c r="A2424" s="11">
        <v>262</v>
      </c>
      <c r="B2424" s="11" t="s">
        <v>63</v>
      </c>
      <c r="C2424" s="11" t="s">
        <v>131</v>
      </c>
      <c r="D2424" s="11">
        <v>1</v>
      </c>
      <c r="E2424" s="11" t="s">
        <v>4</v>
      </c>
      <c r="F2424" s="12">
        <v>23135</v>
      </c>
      <c r="G2424" s="12">
        <v>23135</v>
      </c>
      <c r="H2424" s="11" t="str">
        <f t="shared" si="78"/>
        <v>平成6年9月14日</v>
      </c>
      <c r="I2424" s="22">
        <f t="shared" si="79"/>
        <v>34591</v>
      </c>
      <c r="J2424" s="1" t="str">
        <f>"00736771"</f>
        <v>00736771</v>
      </c>
      <c r="K2424" s="1" t="str">
        <f>"４７８　　　　　　　　　　　　　　　　　"</f>
        <v>４７８　　　　　　　　　　　　　　　　　</v>
      </c>
      <c r="L2424" s="1"/>
    </row>
    <row r="2425" spans="1:12" ht="18" customHeight="1" x14ac:dyDescent="0.15">
      <c r="A2425" s="11">
        <v>263</v>
      </c>
      <c r="B2425" s="11" t="s">
        <v>63</v>
      </c>
      <c r="C2425" s="11" t="s">
        <v>131</v>
      </c>
      <c r="D2425" s="11">
        <v>1</v>
      </c>
      <c r="E2425" s="11" t="s">
        <v>4</v>
      </c>
      <c r="F2425" s="12">
        <v>23135</v>
      </c>
      <c r="G2425" s="12">
        <v>23135</v>
      </c>
      <c r="H2425" s="11" t="str">
        <f t="shared" si="78"/>
        <v>平成6年9月14日</v>
      </c>
      <c r="I2425" s="22">
        <f t="shared" si="79"/>
        <v>34591</v>
      </c>
      <c r="J2425" s="1" t="str">
        <f>"00736779"</f>
        <v>00736779</v>
      </c>
      <c r="K2425" s="1" t="str">
        <f>"４８２　　　　　　　　　　　　　　　　　"</f>
        <v>４８２　　　　　　　　　　　　　　　　　</v>
      </c>
      <c r="L2425" s="1"/>
    </row>
    <row r="2426" spans="1:12" ht="18" customHeight="1" x14ac:dyDescent="0.15">
      <c r="A2426" s="11">
        <v>264</v>
      </c>
      <c r="B2426" s="11" t="s">
        <v>63</v>
      </c>
      <c r="C2426" s="11" t="s">
        <v>131</v>
      </c>
      <c r="D2426" s="11">
        <v>1</v>
      </c>
      <c r="E2426" s="11" t="s">
        <v>4</v>
      </c>
      <c r="F2426" s="12">
        <v>23135</v>
      </c>
      <c r="G2426" s="12">
        <v>23135</v>
      </c>
      <c r="H2426" s="11" t="str">
        <f t="shared" si="78"/>
        <v>平成6年9月14日</v>
      </c>
      <c r="I2426" s="22">
        <f t="shared" si="79"/>
        <v>34591</v>
      </c>
      <c r="J2426" s="1" t="str">
        <f>"00736799"</f>
        <v>00736799</v>
      </c>
      <c r="K2426" s="1" t="str">
        <f>"４９２　　　　　　　　　　　　　　　　　"</f>
        <v>４９２　　　　　　　　　　　　　　　　　</v>
      </c>
      <c r="L2426" s="1"/>
    </row>
    <row r="2427" spans="1:12" ht="18" customHeight="1" x14ac:dyDescent="0.15">
      <c r="A2427" s="11">
        <v>265</v>
      </c>
      <c r="B2427" s="11" t="s">
        <v>63</v>
      </c>
      <c r="C2427" s="11" t="s">
        <v>131</v>
      </c>
      <c r="D2427" s="11">
        <v>1</v>
      </c>
      <c r="E2427" s="11" t="s">
        <v>4</v>
      </c>
      <c r="F2427" s="12">
        <v>23135</v>
      </c>
      <c r="G2427" s="12">
        <v>23135</v>
      </c>
      <c r="H2427" s="11" t="str">
        <f t="shared" si="78"/>
        <v>平成6年9月14日</v>
      </c>
      <c r="I2427" s="22">
        <f t="shared" si="79"/>
        <v>34591</v>
      </c>
      <c r="J2427" s="1" t="str">
        <f>"00736803"</f>
        <v>00736803</v>
      </c>
      <c r="K2427" s="1" t="str">
        <f>"４９４　　　　　　　　　　　　　　　　　"</f>
        <v>４９４　　　　　　　　　　　　　　　　　</v>
      </c>
      <c r="L2427" s="1"/>
    </row>
    <row r="2428" spans="1:12" ht="18" customHeight="1" x14ac:dyDescent="0.15">
      <c r="A2428" s="11">
        <v>266</v>
      </c>
      <c r="B2428" s="11" t="s">
        <v>63</v>
      </c>
      <c r="C2428" s="11" t="s">
        <v>131</v>
      </c>
      <c r="D2428" s="11">
        <v>1</v>
      </c>
      <c r="E2428" s="11" t="s">
        <v>4</v>
      </c>
      <c r="F2428" s="12">
        <v>23135</v>
      </c>
      <c r="G2428" s="12">
        <v>23135</v>
      </c>
      <c r="H2428" s="11" t="str">
        <f t="shared" si="78"/>
        <v>平成6年9月14日</v>
      </c>
      <c r="I2428" s="22">
        <f t="shared" si="79"/>
        <v>34591</v>
      </c>
      <c r="J2428" s="1" t="str">
        <f>"00736805"</f>
        <v>00736805</v>
      </c>
      <c r="K2428" s="1" t="str">
        <f>"４９５　　　　　　　　　　　　　　　　　"</f>
        <v>４９５　　　　　　　　　　　　　　　　　</v>
      </c>
      <c r="L2428" s="1"/>
    </row>
    <row r="2429" spans="1:12" ht="18" customHeight="1" x14ac:dyDescent="0.15">
      <c r="A2429" s="11">
        <v>267</v>
      </c>
      <c r="B2429" s="11" t="s">
        <v>63</v>
      </c>
      <c r="C2429" s="11" t="s">
        <v>131</v>
      </c>
      <c r="D2429" s="11">
        <v>1</v>
      </c>
      <c r="E2429" s="11" t="s">
        <v>4</v>
      </c>
      <c r="F2429" s="12">
        <v>23135</v>
      </c>
      <c r="G2429" s="12">
        <v>23135</v>
      </c>
      <c r="H2429" s="11" t="str">
        <f t="shared" si="78"/>
        <v>平成6年9月14日</v>
      </c>
      <c r="I2429" s="22">
        <f t="shared" si="79"/>
        <v>34591</v>
      </c>
      <c r="J2429" s="1" t="str">
        <f>"00736833"</f>
        <v>00736833</v>
      </c>
      <c r="K2429" s="1" t="str">
        <f>"５０９　　　　　　　　　　　　　　　　　"</f>
        <v>５０９　　　　　　　　　　　　　　　　　</v>
      </c>
      <c r="L2429" s="1"/>
    </row>
    <row r="2430" spans="1:12" ht="18" customHeight="1" x14ac:dyDescent="0.15">
      <c r="A2430" s="11">
        <v>268</v>
      </c>
      <c r="B2430" s="11" t="s">
        <v>63</v>
      </c>
      <c r="C2430" s="11" t="s">
        <v>131</v>
      </c>
      <c r="D2430" s="11">
        <v>1</v>
      </c>
      <c r="E2430" s="11" t="s">
        <v>4</v>
      </c>
      <c r="F2430" s="12">
        <v>23135</v>
      </c>
      <c r="G2430" s="12">
        <v>23135</v>
      </c>
      <c r="H2430" s="11" t="str">
        <f t="shared" si="78"/>
        <v>平成6年9月14日</v>
      </c>
      <c r="I2430" s="22">
        <f t="shared" si="79"/>
        <v>34591</v>
      </c>
      <c r="J2430" s="1" t="str">
        <f>"00736834"</f>
        <v>00736834</v>
      </c>
      <c r="K2430" s="1" t="str">
        <f>"５１０　　　　　　　　　　　　　　　　　"</f>
        <v>５１０　　　　　　　　　　　　　　　　　</v>
      </c>
      <c r="L2430" s="1"/>
    </row>
    <row r="2431" spans="1:12" ht="18" customHeight="1" x14ac:dyDescent="0.15">
      <c r="A2431" s="11">
        <v>269</v>
      </c>
      <c r="B2431" s="11" t="s">
        <v>63</v>
      </c>
      <c r="C2431" s="11" t="s">
        <v>131</v>
      </c>
      <c r="D2431" s="11">
        <v>1</v>
      </c>
      <c r="E2431" s="11" t="s">
        <v>4</v>
      </c>
      <c r="F2431" s="12">
        <v>23135</v>
      </c>
      <c r="G2431" s="12">
        <v>23135</v>
      </c>
      <c r="H2431" s="11" t="str">
        <f t="shared" si="78"/>
        <v>平成6年9月14日</v>
      </c>
      <c r="I2431" s="22">
        <f t="shared" si="79"/>
        <v>34591</v>
      </c>
      <c r="J2431" s="1" t="str">
        <f>"00736839"</f>
        <v>00736839</v>
      </c>
      <c r="K2431" s="1" t="str">
        <f>"５１２　　　　　　　　　　　　　　　　　"</f>
        <v>５１２　　　　　　　　　　　　　　　　　</v>
      </c>
      <c r="L2431" s="1"/>
    </row>
    <row r="2432" spans="1:12" ht="18" customHeight="1" x14ac:dyDescent="0.15">
      <c r="A2432" s="11">
        <v>270</v>
      </c>
      <c r="B2432" s="11" t="s">
        <v>63</v>
      </c>
      <c r="C2432" s="11" t="s">
        <v>131</v>
      </c>
      <c r="D2432" s="11">
        <v>1</v>
      </c>
      <c r="E2432" s="11" t="s">
        <v>4</v>
      </c>
      <c r="F2432" s="12">
        <v>23135</v>
      </c>
      <c r="G2432" s="12">
        <v>23135</v>
      </c>
      <c r="H2432" s="11" t="str">
        <f t="shared" si="78"/>
        <v>平成6年9月14日</v>
      </c>
      <c r="I2432" s="22">
        <f t="shared" si="79"/>
        <v>34591</v>
      </c>
      <c r="J2432" s="1" t="str">
        <f>"00736853"</f>
        <v>00736853</v>
      </c>
      <c r="K2432" s="1" t="str">
        <f>"５１９　　　　　　　　　　　　　　　　　"</f>
        <v>５１９　　　　　　　　　　　　　　　　　</v>
      </c>
      <c r="L2432" s="1"/>
    </row>
    <row r="2433" spans="1:12" ht="18" customHeight="1" x14ac:dyDescent="0.15">
      <c r="A2433" s="11">
        <v>271</v>
      </c>
      <c r="B2433" s="11" t="s">
        <v>63</v>
      </c>
      <c r="C2433" s="11" t="s">
        <v>131</v>
      </c>
      <c r="D2433" s="11">
        <v>1</v>
      </c>
      <c r="E2433" s="11" t="s">
        <v>4</v>
      </c>
      <c r="F2433" s="12">
        <v>23135</v>
      </c>
      <c r="G2433" s="12">
        <v>23135</v>
      </c>
      <c r="H2433" s="11" t="str">
        <f t="shared" si="78"/>
        <v>平成6年9月14日</v>
      </c>
      <c r="I2433" s="22">
        <f t="shared" si="79"/>
        <v>34591</v>
      </c>
      <c r="J2433" s="1" t="str">
        <f>"00736855"</f>
        <v>00736855</v>
      </c>
      <c r="K2433" s="1" t="str">
        <f>"５２０　　　　　　　　　　　　　　　　　"</f>
        <v>５２０　　　　　　　　　　　　　　　　　</v>
      </c>
      <c r="L2433" s="1"/>
    </row>
    <row r="2434" spans="1:12" ht="18" customHeight="1" x14ac:dyDescent="0.15">
      <c r="A2434" s="11">
        <v>272</v>
      </c>
      <c r="B2434" s="11" t="s">
        <v>63</v>
      </c>
      <c r="C2434" s="11" t="s">
        <v>132</v>
      </c>
      <c r="D2434" s="11">
        <v>1</v>
      </c>
      <c r="E2434" s="11" t="s">
        <v>4</v>
      </c>
      <c r="F2434" s="12">
        <v>25750</v>
      </c>
      <c r="G2434" s="12">
        <v>25750</v>
      </c>
      <c r="H2434" s="11" t="str">
        <f t="shared" si="78"/>
        <v>平成6年9月14日</v>
      </c>
      <c r="I2434" s="22">
        <f t="shared" si="79"/>
        <v>34591</v>
      </c>
      <c r="J2434" s="1" t="str">
        <f>"00736867"</f>
        <v>00736867</v>
      </c>
      <c r="K2434" s="1" t="str">
        <f>"５２６　　　　　　　　　　　　　　　　　"</f>
        <v>５２６　　　　　　　　　　　　　　　　　</v>
      </c>
      <c r="L2434" s="1"/>
    </row>
    <row r="2435" spans="1:12" ht="18" customHeight="1" x14ac:dyDescent="0.15">
      <c r="A2435" s="11">
        <v>273</v>
      </c>
      <c r="B2435" s="11" t="s">
        <v>63</v>
      </c>
      <c r="C2435" s="11" t="s">
        <v>132</v>
      </c>
      <c r="D2435" s="11">
        <v>1</v>
      </c>
      <c r="E2435" s="11" t="s">
        <v>4</v>
      </c>
      <c r="F2435" s="12">
        <v>25750</v>
      </c>
      <c r="G2435" s="12">
        <v>25750</v>
      </c>
      <c r="H2435" s="11" t="str">
        <f t="shared" si="78"/>
        <v>平成6年9月14日</v>
      </c>
      <c r="I2435" s="22">
        <f t="shared" si="79"/>
        <v>34591</v>
      </c>
      <c r="J2435" s="1" t="str">
        <f>"00736869"</f>
        <v>00736869</v>
      </c>
      <c r="K2435" s="1" t="str">
        <f>"５２７　　　　　　　　　　　　　　　　　"</f>
        <v>５２７　　　　　　　　　　　　　　　　　</v>
      </c>
      <c r="L2435" s="1"/>
    </row>
    <row r="2436" spans="1:12" ht="18" customHeight="1" x14ac:dyDescent="0.15">
      <c r="A2436" s="11">
        <v>274</v>
      </c>
      <c r="B2436" s="11" t="s">
        <v>63</v>
      </c>
      <c r="C2436" s="11" t="s">
        <v>132</v>
      </c>
      <c r="D2436" s="11">
        <v>1</v>
      </c>
      <c r="E2436" s="11" t="s">
        <v>4</v>
      </c>
      <c r="F2436" s="12">
        <v>25750</v>
      </c>
      <c r="G2436" s="12">
        <v>25750</v>
      </c>
      <c r="H2436" s="11" t="str">
        <f t="shared" si="78"/>
        <v>平成6年9月14日</v>
      </c>
      <c r="I2436" s="22">
        <f t="shared" si="79"/>
        <v>34591</v>
      </c>
      <c r="J2436" s="1" t="str">
        <f>"00736874"</f>
        <v>00736874</v>
      </c>
      <c r="K2436" s="1" t="str">
        <f>"５３０　　　　　　　　　　　　　　　　　"</f>
        <v>５３０　　　　　　　　　　　　　　　　　</v>
      </c>
      <c r="L2436" s="1"/>
    </row>
    <row r="2437" spans="1:12" ht="18" customHeight="1" x14ac:dyDescent="0.15">
      <c r="A2437" s="11">
        <v>275</v>
      </c>
      <c r="B2437" s="11" t="s">
        <v>63</v>
      </c>
      <c r="C2437" s="11" t="s">
        <v>132</v>
      </c>
      <c r="D2437" s="11">
        <v>1</v>
      </c>
      <c r="E2437" s="11" t="s">
        <v>4</v>
      </c>
      <c r="F2437" s="12">
        <v>25750</v>
      </c>
      <c r="G2437" s="12">
        <v>25750</v>
      </c>
      <c r="H2437" s="11" t="str">
        <f t="shared" si="78"/>
        <v>平成6年9月14日</v>
      </c>
      <c r="I2437" s="22">
        <f t="shared" si="79"/>
        <v>34591</v>
      </c>
      <c r="J2437" s="1" t="str">
        <f>"00736878"</f>
        <v>00736878</v>
      </c>
      <c r="K2437" s="1" t="str">
        <f>"５３２　　　　　　　　　　　　　　　　　"</f>
        <v>５３２　　　　　　　　　　　　　　　　　</v>
      </c>
      <c r="L2437" s="1"/>
    </row>
    <row r="2438" spans="1:12" ht="18" customHeight="1" x14ac:dyDescent="0.15">
      <c r="A2438" s="11">
        <v>276</v>
      </c>
      <c r="B2438" s="11" t="s">
        <v>63</v>
      </c>
      <c r="C2438" s="11" t="s">
        <v>132</v>
      </c>
      <c r="D2438" s="11">
        <v>1</v>
      </c>
      <c r="E2438" s="11" t="s">
        <v>4</v>
      </c>
      <c r="F2438" s="12">
        <v>25750</v>
      </c>
      <c r="G2438" s="12">
        <v>25750</v>
      </c>
      <c r="H2438" s="11" t="str">
        <f t="shared" si="78"/>
        <v>平成6年9月14日</v>
      </c>
      <c r="I2438" s="22">
        <f t="shared" si="79"/>
        <v>34591</v>
      </c>
      <c r="J2438" s="1" t="str">
        <f>"00736882"</f>
        <v>00736882</v>
      </c>
      <c r="K2438" s="1" t="str">
        <f>"５３４　　　　　　　　　　　　　　　　　"</f>
        <v>５３４　　　　　　　　　　　　　　　　　</v>
      </c>
      <c r="L2438" s="1"/>
    </row>
    <row r="2439" spans="1:12" ht="18" customHeight="1" x14ac:dyDescent="0.15">
      <c r="A2439" s="11">
        <v>277</v>
      </c>
      <c r="B2439" s="11" t="s">
        <v>63</v>
      </c>
      <c r="C2439" s="11" t="s">
        <v>132</v>
      </c>
      <c r="D2439" s="11">
        <v>1</v>
      </c>
      <c r="E2439" s="11" t="s">
        <v>4</v>
      </c>
      <c r="F2439" s="12">
        <v>25750</v>
      </c>
      <c r="G2439" s="12">
        <v>25750</v>
      </c>
      <c r="H2439" s="11" t="str">
        <f t="shared" si="78"/>
        <v>平成6年9月14日</v>
      </c>
      <c r="I2439" s="22">
        <f t="shared" si="79"/>
        <v>34591</v>
      </c>
      <c r="J2439" s="1" t="str">
        <f>"00736884"</f>
        <v>00736884</v>
      </c>
      <c r="K2439" s="1" t="str">
        <f>"５３５　　　　　　　　　　　　　　　　　"</f>
        <v>５３５　　　　　　　　　　　　　　　　　</v>
      </c>
      <c r="L2439" s="1"/>
    </row>
    <row r="2440" spans="1:12" ht="18" customHeight="1" x14ac:dyDescent="0.15">
      <c r="A2440" s="11">
        <v>278</v>
      </c>
      <c r="B2440" s="11" t="s">
        <v>63</v>
      </c>
      <c r="C2440" s="11" t="s">
        <v>132</v>
      </c>
      <c r="D2440" s="11">
        <v>1</v>
      </c>
      <c r="E2440" s="11" t="s">
        <v>4</v>
      </c>
      <c r="F2440" s="12">
        <v>25750</v>
      </c>
      <c r="G2440" s="12">
        <v>25750</v>
      </c>
      <c r="H2440" s="11" t="str">
        <f t="shared" si="78"/>
        <v>平成6年9月14日</v>
      </c>
      <c r="I2440" s="22">
        <f t="shared" si="79"/>
        <v>34591</v>
      </c>
      <c r="J2440" s="1" t="str">
        <f>"00736886"</f>
        <v>00736886</v>
      </c>
      <c r="K2440" s="1" t="str">
        <f>"５３６　　　　　　　　　　　　　　　　　"</f>
        <v>５３６　　　　　　　　　　　　　　　　　</v>
      </c>
      <c r="L2440" s="1"/>
    </row>
    <row r="2441" spans="1:12" ht="18" customHeight="1" x14ac:dyDescent="0.15">
      <c r="A2441" s="11">
        <v>279</v>
      </c>
      <c r="B2441" s="11" t="s">
        <v>63</v>
      </c>
      <c r="C2441" s="11" t="s">
        <v>132</v>
      </c>
      <c r="D2441" s="11">
        <v>1</v>
      </c>
      <c r="E2441" s="11" t="s">
        <v>4</v>
      </c>
      <c r="F2441" s="12">
        <v>25750</v>
      </c>
      <c r="G2441" s="12">
        <v>25750</v>
      </c>
      <c r="H2441" s="11" t="str">
        <f t="shared" si="78"/>
        <v>平成6年9月14日</v>
      </c>
      <c r="I2441" s="22">
        <f t="shared" si="79"/>
        <v>34591</v>
      </c>
      <c r="J2441" s="1" t="str">
        <f>"00736890"</f>
        <v>00736890</v>
      </c>
      <c r="K2441" s="1" t="str">
        <f>"５３８　　　　　　　　　　　　　　　　　"</f>
        <v>５３８　　　　　　　　　　　　　　　　　</v>
      </c>
      <c r="L2441" s="1"/>
    </row>
    <row r="2442" spans="1:12" ht="18" customHeight="1" x14ac:dyDescent="0.15">
      <c r="A2442" s="11">
        <v>288</v>
      </c>
      <c r="B2442" s="11" t="s">
        <v>73</v>
      </c>
      <c r="C2442" s="11" t="s">
        <v>135</v>
      </c>
      <c r="D2442" s="11">
        <v>1</v>
      </c>
      <c r="E2442" s="11" t="s">
        <v>4</v>
      </c>
      <c r="F2442" s="12">
        <v>122100</v>
      </c>
      <c r="G2442" s="12">
        <v>122100</v>
      </c>
      <c r="H2442" s="11" t="str">
        <f t="shared" si="78"/>
        <v>平成6年9月14日</v>
      </c>
      <c r="I2442" s="22">
        <f t="shared" si="79"/>
        <v>34591</v>
      </c>
      <c r="J2442" s="1" t="str">
        <f>"00736909"</f>
        <v>00736909</v>
      </c>
      <c r="K2442" s="1" t="str">
        <f>"３１１　　　　　　　　　　　　　　　　　"</f>
        <v>３１１　　　　　　　　　　　　　　　　　</v>
      </c>
      <c r="L2442" s="1"/>
    </row>
    <row r="2443" spans="1:12" ht="18" customHeight="1" x14ac:dyDescent="0.15">
      <c r="A2443" s="11">
        <v>289</v>
      </c>
      <c r="B2443" s="11" t="s">
        <v>73</v>
      </c>
      <c r="C2443" s="11" t="s">
        <v>136</v>
      </c>
      <c r="D2443" s="11">
        <v>1</v>
      </c>
      <c r="E2443" s="11" t="s">
        <v>4</v>
      </c>
      <c r="F2443" s="12">
        <v>62620</v>
      </c>
      <c r="G2443" s="12">
        <v>62620</v>
      </c>
      <c r="H2443" s="11" t="str">
        <f t="shared" si="78"/>
        <v>平成6年9月14日</v>
      </c>
      <c r="I2443" s="22">
        <f t="shared" si="79"/>
        <v>34591</v>
      </c>
      <c r="J2443" s="1" t="str">
        <f>"00736911"</f>
        <v>00736911</v>
      </c>
      <c r="K2443" s="1" t="str">
        <f>"３１２　　　　　　　　　　　　　　　　　"</f>
        <v>３１２　　　　　　　　　　　　　　　　　</v>
      </c>
      <c r="L2443" s="1"/>
    </row>
    <row r="2444" spans="1:12" ht="18" customHeight="1" x14ac:dyDescent="0.15">
      <c r="A2444" s="11">
        <v>290</v>
      </c>
      <c r="B2444" s="11" t="s">
        <v>73</v>
      </c>
      <c r="C2444" s="11" t="s">
        <v>136</v>
      </c>
      <c r="D2444" s="11">
        <v>1</v>
      </c>
      <c r="E2444" s="11" t="s">
        <v>4</v>
      </c>
      <c r="F2444" s="12">
        <v>62620</v>
      </c>
      <c r="G2444" s="12">
        <v>62620</v>
      </c>
      <c r="H2444" s="11" t="str">
        <f t="shared" si="78"/>
        <v>平成6年9月14日</v>
      </c>
      <c r="I2444" s="22">
        <f t="shared" si="79"/>
        <v>34591</v>
      </c>
      <c r="J2444" s="1" t="str">
        <f>"00736913"</f>
        <v>00736913</v>
      </c>
      <c r="K2444" s="1" t="str">
        <f>"３１３　　　　　　　　　　　　　　　　　"</f>
        <v>３１３　　　　　　　　　　　　　　　　　</v>
      </c>
      <c r="L2444" s="1"/>
    </row>
    <row r="2445" spans="1:12" ht="18" customHeight="1" x14ac:dyDescent="0.15">
      <c r="A2445" s="11">
        <v>291</v>
      </c>
      <c r="B2445" s="11" t="s">
        <v>73</v>
      </c>
      <c r="C2445" s="11" t="s">
        <v>136</v>
      </c>
      <c r="D2445" s="11">
        <v>1</v>
      </c>
      <c r="E2445" s="11" t="s">
        <v>4</v>
      </c>
      <c r="F2445" s="12">
        <v>62620</v>
      </c>
      <c r="G2445" s="12">
        <v>62620</v>
      </c>
      <c r="H2445" s="11" t="str">
        <f t="shared" si="78"/>
        <v>平成6年9月14日</v>
      </c>
      <c r="I2445" s="22">
        <f t="shared" si="79"/>
        <v>34591</v>
      </c>
      <c r="J2445" s="1" t="str">
        <f>"00736915"</f>
        <v>00736915</v>
      </c>
      <c r="K2445" s="1" t="str">
        <f>"３１４　　　　　　　　　　　　　　　　　"</f>
        <v>３１４　　　　　　　　　　　　　　　　　</v>
      </c>
      <c r="L2445" s="1"/>
    </row>
    <row r="2446" spans="1:12" ht="18" customHeight="1" x14ac:dyDescent="0.15">
      <c r="A2446" s="11">
        <v>292</v>
      </c>
      <c r="B2446" s="11" t="s">
        <v>73</v>
      </c>
      <c r="C2446" s="11" t="s">
        <v>137</v>
      </c>
      <c r="D2446" s="11">
        <v>1</v>
      </c>
      <c r="E2446" s="11" t="s">
        <v>4</v>
      </c>
      <c r="F2446" s="12">
        <v>90500</v>
      </c>
      <c r="G2446" s="12">
        <v>90500</v>
      </c>
      <c r="H2446" s="11" t="str">
        <f t="shared" si="78"/>
        <v>平成6年9月14日</v>
      </c>
      <c r="I2446" s="22">
        <f t="shared" si="79"/>
        <v>34591</v>
      </c>
      <c r="J2446" s="1" t="str">
        <f>"00736917"</f>
        <v>00736917</v>
      </c>
      <c r="K2446" s="1" t="str">
        <f>"３１５　　　　　　　　　　　　　　　　　"</f>
        <v>３１５　　　　　　　　　　　　　　　　　</v>
      </c>
      <c r="L2446" s="1"/>
    </row>
    <row r="2447" spans="1:12" ht="18" customHeight="1" x14ac:dyDescent="0.15">
      <c r="A2447" s="11">
        <v>293</v>
      </c>
      <c r="B2447" s="11" t="s">
        <v>73</v>
      </c>
      <c r="C2447" s="11" t="s">
        <v>137</v>
      </c>
      <c r="D2447" s="11">
        <v>1</v>
      </c>
      <c r="E2447" s="11" t="s">
        <v>4</v>
      </c>
      <c r="F2447" s="12">
        <v>90500</v>
      </c>
      <c r="G2447" s="12">
        <v>90500</v>
      </c>
      <c r="H2447" s="11" t="str">
        <f t="shared" ref="H2447:H2510" si="80">"平成6年9月14日"</f>
        <v>平成6年9月14日</v>
      </c>
      <c r="I2447" s="22">
        <f t="shared" si="79"/>
        <v>34591</v>
      </c>
      <c r="J2447" s="1" t="str">
        <f>"00736919"</f>
        <v>00736919</v>
      </c>
      <c r="K2447" s="1" t="str">
        <f>"３１６　　　　　　　　　　　　　　　　　"</f>
        <v>３１６　　　　　　　　　　　　　　　　　</v>
      </c>
      <c r="L2447" s="1"/>
    </row>
    <row r="2448" spans="1:12" ht="18" customHeight="1" x14ac:dyDescent="0.15">
      <c r="A2448" s="11">
        <v>294</v>
      </c>
      <c r="B2448" s="11" t="s">
        <v>73</v>
      </c>
      <c r="C2448" s="11" t="s">
        <v>137</v>
      </c>
      <c r="D2448" s="11">
        <v>1</v>
      </c>
      <c r="E2448" s="11" t="s">
        <v>4</v>
      </c>
      <c r="F2448" s="12">
        <v>90500</v>
      </c>
      <c r="G2448" s="12">
        <v>90500</v>
      </c>
      <c r="H2448" s="11" t="str">
        <f t="shared" si="80"/>
        <v>平成6年9月14日</v>
      </c>
      <c r="I2448" s="22">
        <f t="shared" si="79"/>
        <v>34591</v>
      </c>
      <c r="J2448" s="1" t="str">
        <f>"00736921"</f>
        <v>00736921</v>
      </c>
      <c r="K2448" s="1" t="str">
        <f>"３１７　　　　　　　　　　　　　　　　　"</f>
        <v>３１７　　　　　　　　　　　　　　　　　</v>
      </c>
      <c r="L2448" s="1"/>
    </row>
    <row r="2449" spans="1:12" ht="18" customHeight="1" x14ac:dyDescent="0.15">
      <c r="A2449" s="11">
        <v>295</v>
      </c>
      <c r="B2449" s="11" t="s">
        <v>73</v>
      </c>
      <c r="C2449" s="11" t="s">
        <v>137</v>
      </c>
      <c r="D2449" s="11">
        <v>1</v>
      </c>
      <c r="E2449" s="11" t="s">
        <v>4</v>
      </c>
      <c r="F2449" s="12">
        <v>90500</v>
      </c>
      <c r="G2449" s="12">
        <v>90500</v>
      </c>
      <c r="H2449" s="11" t="str">
        <f t="shared" si="80"/>
        <v>平成6年9月14日</v>
      </c>
      <c r="I2449" s="22">
        <f t="shared" si="79"/>
        <v>34591</v>
      </c>
      <c r="J2449" s="1" t="str">
        <f>"00736923"</f>
        <v>00736923</v>
      </c>
      <c r="K2449" s="1" t="str">
        <f>"３１８　　　　　　　　　　　　　　　　　"</f>
        <v>３１８　　　　　　　　　　　　　　　　　</v>
      </c>
      <c r="L2449" s="1"/>
    </row>
    <row r="2450" spans="1:12" ht="18" customHeight="1" x14ac:dyDescent="0.15">
      <c r="A2450" s="11">
        <v>296</v>
      </c>
      <c r="B2450" s="11" t="s">
        <v>73</v>
      </c>
      <c r="C2450" s="11" t="s">
        <v>138</v>
      </c>
      <c r="D2450" s="11">
        <v>1</v>
      </c>
      <c r="E2450" s="11" t="s">
        <v>4</v>
      </c>
      <c r="F2450" s="12">
        <v>83288</v>
      </c>
      <c r="G2450" s="12">
        <v>83288</v>
      </c>
      <c r="H2450" s="11" t="str">
        <f t="shared" si="80"/>
        <v>平成6年9月14日</v>
      </c>
      <c r="I2450" s="22">
        <f t="shared" ref="I2450:I2513" si="81">DATEVALUE(H2450)</f>
        <v>34591</v>
      </c>
      <c r="J2450" s="1" t="str">
        <f>"00736927"</f>
        <v>00736927</v>
      </c>
      <c r="K2450" s="1" t="str">
        <f>"３２１　　　　　　　　　　　　　　　　　"</f>
        <v>３２１　　　　　　　　　　　　　　　　　</v>
      </c>
      <c r="L2450" s="1"/>
    </row>
    <row r="2451" spans="1:12" ht="18" customHeight="1" x14ac:dyDescent="0.15">
      <c r="A2451" s="11">
        <v>2571</v>
      </c>
      <c r="B2451" s="11" t="s">
        <v>53</v>
      </c>
      <c r="C2451" s="11" t="s">
        <v>158</v>
      </c>
      <c r="D2451" s="11">
        <v>1</v>
      </c>
      <c r="E2451" s="11" t="s">
        <v>4</v>
      </c>
      <c r="F2451" s="12">
        <v>266250</v>
      </c>
      <c r="G2451" s="12">
        <v>266250</v>
      </c>
      <c r="H2451" s="11" t="str">
        <f t="shared" si="80"/>
        <v>平成6年9月14日</v>
      </c>
      <c r="I2451" s="22">
        <f t="shared" si="81"/>
        <v>34591</v>
      </c>
      <c r="J2451" s="1" t="str">
        <f>"00741537"</f>
        <v>00741537</v>
      </c>
      <c r="K2451" s="1" t="str">
        <f>"１２９９　　　　　　　　　　　　　　　　"</f>
        <v>１２９９　　　　　　　　　　　　　　　　</v>
      </c>
      <c r="L2451" s="1"/>
    </row>
    <row r="2452" spans="1:12" ht="18" customHeight="1" x14ac:dyDescent="0.15">
      <c r="A2452" s="11">
        <v>2572</v>
      </c>
      <c r="B2452" s="11" t="s">
        <v>53</v>
      </c>
      <c r="C2452" s="11" t="s">
        <v>158</v>
      </c>
      <c r="D2452" s="11">
        <v>1</v>
      </c>
      <c r="E2452" s="11" t="s">
        <v>4</v>
      </c>
      <c r="F2452" s="12">
        <v>266250</v>
      </c>
      <c r="G2452" s="12">
        <v>266250</v>
      </c>
      <c r="H2452" s="11" t="str">
        <f t="shared" si="80"/>
        <v>平成6年9月14日</v>
      </c>
      <c r="I2452" s="22">
        <f t="shared" si="81"/>
        <v>34591</v>
      </c>
      <c r="J2452" s="1" t="str">
        <f>"00741539"</f>
        <v>00741539</v>
      </c>
      <c r="K2452" s="1" t="str">
        <f>"１３００　　　　　　　　　　　　　　　　"</f>
        <v>１３００　　　　　　　　　　　　　　　　</v>
      </c>
      <c r="L2452" s="1"/>
    </row>
    <row r="2453" spans="1:12" ht="18" customHeight="1" x14ac:dyDescent="0.15">
      <c r="A2453" s="11">
        <v>2573</v>
      </c>
      <c r="B2453" s="11" t="s">
        <v>53</v>
      </c>
      <c r="C2453" s="11" t="s">
        <v>158</v>
      </c>
      <c r="D2453" s="11">
        <v>1</v>
      </c>
      <c r="E2453" s="11" t="s">
        <v>4</v>
      </c>
      <c r="F2453" s="12">
        <v>266250</v>
      </c>
      <c r="G2453" s="12">
        <v>266250</v>
      </c>
      <c r="H2453" s="11" t="str">
        <f t="shared" si="80"/>
        <v>平成6年9月14日</v>
      </c>
      <c r="I2453" s="22">
        <f t="shared" si="81"/>
        <v>34591</v>
      </c>
      <c r="J2453" s="1" t="str">
        <f>"00741541"</f>
        <v>00741541</v>
      </c>
      <c r="K2453" s="1" t="str">
        <f>"１３０１　　　　　　　　　　　　　　　　"</f>
        <v>１３０１　　　　　　　　　　　　　　　　</v>
      </c>
      <c r="L2453" s="1"/>
    </row>
    <row r="2454" spans="1:12" ht="18" customHeight="1" x14ac:dyDescent="0.15">
      <c r="A2454" s="11">
        <v>2574</v>
      </c>
      <c r="B2454" s="11" t="s">
        <v>53</v>
      </c>
      <c r="C2454" s="11" t="s">
        <v>158</v>
      </c>
      <c r="D2454" s="11">
        <v>1</v>
      </c>
      <c r="E2454" s="11" t="s">
        <v>4</v>
      </c>
      <c r="F2454" s="12">
        <v>266250</v>
      </c>
      <c r="G2454" s="12">
        <v>266250</v>
      </c>
      <c r="H2454" s="11" t="str">
        <f t="shared" si="80"/>
        <v>平成6年9月14日</v>
      </c>
      <c r="I2454" s="22">
        <f t="shared" si="81"/>
        <v>34591</v>
      </c>
      <c r="J2454" s="1" t="str">
        <f>"00741543"</f>
        <v>00741543</v>
      </c>
      <c r="K2454" s="1" t="str">
        <f>"１３０２　　　　　　　　　　　　　　　　"</f>
        <v>１３０２　　　　　　　　　　　　　　　　</v>
      </c>
      <c r="L2454" s="1"/>
    </row>
    <row r="2455" spans="1:12" ht="18" customHeight="1" x14ac:dyDescent="0.15">
      <c r="A2455" s="11">
        <v>2575</v>
      </c>
      <c r="B2455" s="11" t="s">
        <v>53</v>
      </c>
      <c r="C2455" s="11" t="s">
        <v>158</v>
      </c>
      <c r="D2455" s="11">
        <v>1</v>
      </c>
      <c r="E2455" s="11" t="s">
        <v>4</v>
      </c>
      <c r="F2455" s="12">
        <v>266250</v>
      </c>
      <c r="G2455" s="12">
        <v>266250</v>
      </c>
      <c r="H2455" s="11" t="str">
        <f t="shared" si="80"/>
        <v>平成6年9月14日</v>
      </c>
      <c r="I2455" s="22">
        <f t="shared" si="81"/>
        <v>34591</v>
      </c>
      <c r="J2455" s="1" t="str">
        <f>"00741545"</f>
        <v>00741545</v>
      </c>
      <c r="K2455" s="1" t="str">
        <f>"１３０３　　　　　　　　　　　　　　　　"</f>
        <v>１３０３　　　　　　　　　　　　　　　　</v>
      </c>
      <c r="L2455" s="1"/>
    </row>
    <row r="2456" spans="1:12" ht="18" customHeight="1" x14ac:dyDescent="0.15">
      <c r="A2456" s="11">
        <v>2576</v>
      </c>
      <c r="B2456" s="11" t="s">
        <v>53</v>
      </c>
      <c r="C2456" s="11" t="s">
        <v>158</v>
      </c>
      <c r="D2456" s="11">
        <v>1</v>
      </c>
      <c r="E2456" s="11" t="s">
        <v>4</v>
      </c>
      <c r="F2456" s="12">
        <v>266250</v>
      </c>
      <c r="G2456" s="12">
        <v>266250</v>
      </c>
      <c r="H2456" s="11" t="str">
        <f t="shared" si="80"/>
        <v>平成6年9月14日</v>
      </c>
      <c r="I2456" s="22">
        <f t="shared" si="81"/>
        <v>34591</v>
      </c>
      <c r="J2456" s="1" t="str">
        <f>"00741547"</f>
        <v>00741547</v>
      </c>
      <c r="K2456" s="1" t="str">
        <f>"１３０４　　　　　　　　　　　　　　　　"</f>
        <v>１３０４　　　　　　　　　　　　　　　　</v>
      </c>
      <c r="L2456" s="1"/>
    </row>
    <row r="2457" spans="1:12" ht="18" customHeight="1" x14ac:dyDescent="0.15">
      <c r="A2457" s="11">
        <v>2577</v>
      </c>
      <c r="B2457" s="11" t="s">
        <v>53</v>
      </c>
      <c r="C2457" s="11" t="s">
        <v>158</v>
      </c>
      <c r="D2457" s="11">
        <v>1</v>
      </c>
      <c r="E2457" s="11" t="s">
        <v>4</v>
      </c>
      <c r="F2457" s="12">
        <v>266250</v>
      </c>
      <c r="G2457" s="12">
        <v>266250</v>
      </c>
      <c r="H2457" s="11" t="str">
        <f t="shared" si="80"/>
        <v>平成6年9月14日</v>
      </c>
      <c r="I2457" s="22">
        <f t="shared" si="81"/>
        <v>34591</v>
      </c>
      <c r="J2457" s="1" t="str">
        <f>"00741549"</f>
        <v>00741549</v>
      </c>
      <c r="K2457" s="1" t="str">
        <f>"１３０５　　　　　　　　　　　　　　　　"</f>
        <v>１３０５　　　　　　　　　　　　　　　　</v>
      </c>
      <c r="L2457" s="1"/>
    </row>
    <row r="2458" spans="1:12" ht="18" customHeight="1" x14ac:dyDescent="0.15">
      <c r="A2458" s="11">
        <v>2578</v>
      </c>
      <c r="B2458" s="11" t="s">
        <v>53</v>
      </c>
      <c r="C2458" s="11" t="s">
        <v>158</v>
      </c>
      <c r="D2458" s="11">
        <v>1</v>
      </c>
      <c r="E2458" s="11" t="s">
        <v>4</v>
      </c>
      <c r="F2458" s="12">
        <v>266250</v>
      </c>
      <c r="G2458" s="12">
        <v>266250</v>
      </c>
      <c r="H2458" s="11" t="str">
        <f t="shared" si="80"/>
        <v>平成6年9月14日</v>
      </c>
      <c r="I2458" s="22">
        <f t="shared" si="81"/>
        <v>34591</v>
      </c>
      <c r="J2458" s="1" t="str">
        <f>"00741551"</f>
        <v>00741551</v>
      </c>
      <c r="K2458" s="1" t="str">
        <f>"１３０６　　　　　　　　　　　　　　　　"</f>
        <v>１３０６　　　　　　　　　　　　　　　　</v>
      </c>
      <c r="L2458" s="1"/>
    </row>
    <row r="2459" spans="1:12" ht="18" customHeight="1" x14ac:dyDescent="0.15">
      <c r="A2459" s="11">
        <v>2579</v>
      </c>
      <c r="B2459" s="11" t="s">
        <v>53</v>
      </c>
      <c r="C2459" s="11" t="s">
        <v>159</v>
      </c>
      <c r="D2459" s="11">
        <v>1</v>
      </c>
      <c r="E2459" s="11" t="s">
        <v>4</v>
      </c>
      <c r="F2459" s="12">
        <v>133000</v>
      </c>
      <c r="G2459" s="12">
        <v>133000</v>
      </c>
      <c r="H2459" s="11" t="str">
        <f t="shared" si="80"/>
        <v>平成6年9月14日</v>
      </c>
      <c r="I2459" s="22">
        <f t="shared" si="81"/>
        <v>34591</v>
      </c>
      <c r="J2459" s="1" t="str">
        <f>"00741553"</f>
        <v>00741553</v>
      </c>
      <c r="K2459" s="1" t="str">
        <f>"１３０７　　　　　　　　　　　　　　　　"</f>
        <v>１３０７　　　　　　　　　　　　　　　　</v>
      </c>
      <c r="L2459" s="1"/>
    </row>
    <row r="2460" spans="1:12" ht="18" customHeight="1" x14ac:dyDescent="0.15">
      <c r="A2460" s="11">
        <v>2580</v>
      </c>
      <c r="B2460" s="11" t="s">
        <v>53</v>
      </c>
      <c r="C2460" s="11" t="s">
        <v>159</v>
      </c>
      <c r="D2460" s="11">
        <v>1</v>
      </c>
      <c r="E2460" s="11" t="s">
        <v>4</v>
      </c>
      <c r="F2460" s="12">
        <v>133000</v>
      </c>
      <c r="G2460" s="12">
        <v>133000</v>
      </c>
      <c r="H2460" s="11" t="str">
        <f t="shared" si="80"/>
        <v>平成6年9月14日</v>
      </c>
      <c r="I2460" s="22">
        <f t="shared" si="81"/>
        <v>34591</v>
      </c>
      <c r="J2460" s="1" t="str">
        <f>"00741555"</f>
        <v>00741555</v>
      </c>
      <c r="K2460" s="1" t="str">
        <f>"１３０８　　　　　　　　　　　　　　　　"</f>
        <v>１３０８　　　　　　　　　　　　　　　　</v>
      </c>
      <c r="L2460" s="1"/>
    </row>
    <row r="2461" spans="1:12" ht="18" customHeight="1" x14ac:dyDescent="0.15">
      <c r="A2461" s="11">
        <v>2581</v>
      </c>
      <c r="B2461" s="11" t="s">
        <v>53</v>
      </c>
      <c r="C2461" s="11" t="s">
        <v>160</v>
      </c>
      <c r="D2461" s="11">
        <v>1</v>
      </c>
      <c r="E2461" s="11" t="s">
        <v>4</v>
      </c>
      <c r="F2461" s="12">
        <v>93500</v>
      </c>
      <c r="G2461" s="12">
        <v>93500</v>
      </c>
      <c r="H2461" s="11" t="str">
        <f t="shared" si="80"/>
        <v>平成6年9月14日</v>
      </c>
      <c r="I2461" s="22">
        <f t="shared" si="81"/>
        <v>34591</v>
      </c>
      <c r="J2461" s="1" t="str">
        <f>"00741557"</f>
        <v>00741557</v>
      </c>
      <c r="K2461" s="1" t="str">
        <f>"１３４２　　　　　　　　　　　　　　　　"</f>
        <v>１３４２　　　　　　　　　　　　　　　　</v>
      </c>
      <c r="L2461" s="1"/>
    </row>
    <row r="2462" spans="1:12" ht="18" customHeight="1" x14ac:dyDescent="0.15">
      <c r="A2462" s="11">
        <v>2582</v>
      </c>
      <c r="B2462" s="11" t="s">
        <v>53</v>
      </c>
      <c r="C2462" s="11" t="s">
        <v>160</v>
      </c>
      <c r="D2462" s="11">
        <v>1</v>
      </c>
      <c r="E2462" s="11" t="s">
        <v>4</v>
      </c>
      <c r="F2462" s="12">
        <v>93500</v>
      </c>
      <c r="G2462" s="12">
        <v>93500</v>
      </c>
      <c r="H2462" s="11" t="str">
        <f t="shared" si="80"/>
        <v>平成6年9月14日</v>
      </c>
      <c r="I2462" s="22">
        <f t="shared" si="81"/>
        <v>34591</v>
      </c>
      <c r="J2462" s="1" t="str">
        <f>"00741559"</f>
        <v>00741559</v>
      </c>
      <c r="K2462" s="1" t="str">
        <f>"１３４３　　　　　　　　　　　　　　　　"</f>
        <v>１３４３　　　　　　　　　　　　　　　　</v>
      </c>
      <c r="L2462" s="1"/>
    </row>
    <row r="2463" spans="1:12" ht="18" customHeight="1" x14ac:dyDescent="0.15">
      <c r="A2463" s="11">
        <v>2583</v>
      </c>
      <c r="B2463" s="11" t="s">
        <v>53</v>
      </c>
      <c r="C2463" s="11" t="s">
        <v>160</v>
      </c>
      <c r="D2463" s="11">
        <v>1</v>
      </c>
      <c r="E2463" s="11" t="s">
        <v>4</v>
      </c>
      <c r="F2463" s="12">
        <v>93500</v>
      </c>
      <c r="G2463" s="12">
        <v>93500</v>
      </c>
      <c r="H2463" s="11" t="str">
        <f t="shared" si="80"/>
        <v>平成6年9月14日</v>
      </c>
      <c r="I2463" s="22">
        <f t="shared" si="81"/>
        <v>34591</v>
      </c>
      <c r="J2463" s="1" t="str">
        <f>"00741561"</f>
        <v>00741561</v>
      </c>
      <c r="K2463" s="1" t="str">
        <f>"１３４４　　　　　　　　　　　　　　　　"</f>
        <v>１３４４　　　　　　　　　　　　　　　　</v>
      </c>
      <c r="L2463" s="1"/>
    </row>
    <row r="2464" spans="1:12" ht="18" customHeight="1" x14ac:dyDescent="0.15">
      <c r="A2464" s="11">
        <v>2584</v>
      </c>
      <c r="B2464" s="11" t="s">
        <v>53</v>
      </c>
      <c r="C2464" s="11" t="s">
        <v>160</v>
      </c>
      <c r="D2464" s="11">
        <v>1</v>
      </c>
      <c r="E2464" s="11" t="s">
        <v>4</v>
      </c>
      <c r="F2464" s="12">
        <v>93500</v>
      </c>
      <c r="G2464" s="12">
        <v>93500</v>
      </c>
      <c r="H2464" s="11" t="str">
        <f t="shared" si="80"/>
        <v>平成6年9月14日</v>
      </c>
      <c r="I2464" s="22">
        <f t="shared" si="81"/>
        <v>34591</v>
      </c>
      <c r="J2464" s="1" t="str">
        <f>"00741563"</f>
        <v>00741563</v>
      </c>
      <c r="K2464" s="1" t="str">
        <f>"１３４５　　　　　　　　　　　　　　　　"</f>
        <v>１３４５　　　　　　　　　　　　　　　　</v>
      </c>
      <c r="L2464" s="1"/>
    </row>
    <row r="2465" spans="1:12" ht="18" customHeight="1" x14ac:dyDescent="0.15">
      <c r="A2465" s="11">
        <v>2585</v>
      </c>
      <c r="B2465" s="11" t="s">
        <v>53</v>
      </c>
      <c r="C2465" s="11" t="s">
        <v>160</v>
      </c>
      <c r="D2465" s="11">
        <v>1</v>
      </c>
      <c r="E2465" s="11" t="s">
        <v>4</v>
      </c>
      <c r="F2465" s="12">
        <v>93500</v>
      </c>
      <c r="G2465" s="12">
        <v>93500</v>
      </c>
      <c r="H2465" s="11" t="str">
        <f t="shared" si="80"/>
        <v>平成6年9月14日</v>
      </c>
      <c r="I2465" s="22">
        <f t="shared" si="81"/>
        <v>34591</v>
      </c>
      <c r="J2465" s="1" t="str">
        <f>"00741565"</f>
        <v>00741565</v>
      </c>
      <c r="K2465" s="1" t="str">
        <f>"１３４６　　　　　　　　　　　　　　　　"</f>
        <v>１３４６　　　　　　　　　　　　　　　　</v>
      </c>
      <c r="L2465" s="1"/>
    </row>
    <row r="2466" spans="1:12" ht="18" customHeight="1" x14ac:dyDescent="0.15">
      <c r="A2466" s="11">
        <v>2586</v>
      </c>
      <c r="B2466" s="11" t="s">
        <v>53</v>
      </c>
      <c r="C2466" s="11" t="s">
        <v>160</v>
      </c>
      <c r="D2466" s="11">
        <v>1</v>
      </c>
      <c r="E2466" s="11" t="s">
        <v>4</v>
      </c>
      <c r="F2466" s="12">
        <v>93500</v>
      </c>
      <c r="G2466" s="12">
        <v>93500</v>
      </c>
      <c r="H2466" s="11" t="str">
        <f t="shared" si="80"/>
        <v>平成6年9月14日</v>
      </c>
      <c r="I2466" s="22">
        <f t="shared" si="81"/>
        <v>34591</v>
      </c>
      <c r="J2466" s="1" t="str">
        <f>"00741567"</f>
        <v>00741567</v>
      </c>
      <c r="K2466" s="1" t="str">
        <f>"１３４７　　　　　　　　　　　　　　　　"</f>
        <v>１３４７　　　　　　　　　　　　　　　　</v>
      </c>
      <c r="L2466" s="1"/>
    </row>
    <row r="2467" spans="1:12" ht="18" customHeight="1" x14ac:dyDescent="0.15">
      <c r="A2467" s="11">
        <v>2587</v>
      </c>
      <c r="B2467" s="11" t="s">
        <v>53</v>
      </c>
      <c r="C2467" s="11" t="s">
        <v>160</v>
      </c>
      <c r="D2467" s="11">
        <v>1</v>
      </c>
      <c r="E2467" s="11" t="s">
        <v>4</v>
      </c>
      <c r="F2467" s="12">
        <v>93500</v>
      </c>
      <c r="G2467" s="12">
        <v>93500</v>
      </c>
      <c r="H2467" s="11" t="str">
        <f t="shared" si="80"/>
        <v>平成6年9月14日</v>
      </c>
      <c r="I2467" s="22">
        <f t="shared" si="81"/>
        <v>34591</v>
      </c>
      <c r="J2467" s="1" t="str">
        <f>"00741569"</f>
        <v>00741569</v>
      </c>
      <c r="K2467" s="1" t="str">
        <f>"１３４８　　　　　　　　　　　　　　　　"</f>
        <v>１３４８　　　　　　　　　　　　　　　　</v>
      </c>
      <c r="L2467" s="1"/>
    </row>
    <row r="2468" spans="1:12" ht="18" customHeight="1" x14ac:dyDescent="0.15">
      <c r="A2468" s="11">
        <v>2588</v>
      </c>
      <c r="B2468" s="11" t="s">
        <v>53</v>
      </c>
      <c r="C2468" s="11" t="s">
        <v>160</v>
      </c>
      <c r="D2468" s="11">
        <v>1</v>
      </c>
      <c r="E2468" s="11" t="s">
        <v>4</v>
      </c>
      <c r="F2468" s="12">
        <v>93500</v>
      </c>
      <c r="G2468" s="12">
        <v>93500</v>
      </c>
      <c r="H2468" s="11" t="str">
        <f t="shared" si="80"/>
        <v>平成6年9月14日</v>
      </c>
      <c r="I2468" s="22">
        <f t="shared" si="81"/>
        <v>34591</v>
      </c>
      <c r="J2468" s="1" t="str">
        <f>"00741571"</f>
        <v>00741571</v>
      </c>
      <c r="K2468" s="1" t="str">
        <f>"１３４９　　　　　　　　　　　　　　　　"</f>
        <v>１３４９　　　　　　　　　　　　　　　　</v>
      </c>
      <c r="L2468" s="1"/>
    </row>
    <row r="2469" spans="1:12" ht="18" customHeight="1" x14ac:dyDescent="0.15">
      <c r="A2469" s="11">
        <v>2589</v>
      </c>
      <c r="B2469" s="11" t="s">
        <v>53</v>
      </c>
      <c r="C2469" s="11" t="s">
        <v>160</v>
      </c>
      <c r="D2469" s="11">
        <v>1</v>
      </c>
      <c r="E2469" s="11" t="s">
        <v>4</v>
      </c>
      <c r="F2469" s="12">
        <v>93500</v>
      </c>
      <c r="G2469" s="12">
        <v>93500</v>
      </c>
      <c r="H2469" s="11" t="str">
        <f t="shared" si="80"/>
        <v>平成6年9月14日</v>
      </c>
      <c r="I2469" s="22">
        <f t="shared" si="81"/>
        <v>34591</v>
      </c>
      <c r="J2469" s="1" t="str">
        <f>"00741573"</f>
        <v>00741573</v>
      </c>
      <c r="K2469" s="1" t="str">
        <f>"１３５０　　　　　　　　　　　　　　　　"</f>
        <v>１３５０　　　　　　　　　　　　　　　　</v>
      </c>
      <c r="L2469" s="1"/>
    </row>
    <row r="2470" spans="1:12" ht="18" customHeight="1" x14ac:dyDescent="0.15">
      <c r="A2470" s="11">
        <v>2590</v>
      </c>
      <c r="B2470" s="11" t="s">
        <v>53</v>
      </c>
      <c r="C2470" s="11" t="s">
        <v>160</v>
      </c>
      <c r="D2470" s="11">
        <v>1</v>
      </c>
      <c r="E2470" s="11" t="s">
        <v>4</v>
      </c>
      <c r="F2470" s="12">
        <v>93500</v>
      </c>
      <c r="G2470" s="12">
        <v>93500</v>
      </c>
      <c r="H2470" s="11" t="str">
        <f t="shared" si="80"/>
        <v>平成6年9月14日</v>
      </c>
      <c r="I2470" s="22">
        <f t="shared" si="81"/>
        <v>34591</v>
      </c>
      <c r="J2470" s="1" t="str">
        <f>"00741575"</f>
        <v>00741575</v>
      </c>
      <c r="K2470" s="1" t="str">
        <f>"１３５１　　　　　　　　　　　　　　　　"</f>
        <v>１３５１　　　　　　　　　　　　　　　　</v>
      </c>
      <c r="L2470" s="1"/>
    </row>
    <row r="2471" spans="1:12" ht="18" customHeight="1" x14ac:dyDescent="0.15">
      <c r="A2471" s="11">
        <v>2591</v>
      </c>
      <c r="B2471" s="11" t="s">
        <v>53</v>
      </c>
      <c r="C2471" s="11" t="s">
        <v>160</v>
      </c>
      <c r="D2471" s="11">
        <v>1</v>
      </c>
      <c r="E2471" s="11" t="s">
        <v>4</v>
      </c>
      <c r="F2471" s="12">
        <v>93500</v>
      </c>
      <c r="G2471" s="12">
        <v>93500</v>
      </c>
      <c r="H2471" s="11" t="str">
        <f t="shared" si="80"/>
        <v>平成6年9月14日</v>
      </c>
      <c r="I2471" s="22">
        <f t="shared" si="81"/>
        <v>34591</v>
      </c>
      <c r="J2471" s="1" t="str">
        <f>"00741577"</f>
        <v>00741577</v>
      </c>
      <c r="K2471" s="1" t="str">
        <f>"１３５２　　　　　　　　　　　　　　　　"</f>
        <v>１３５２　　　　　　　　　　　　　　　　</v>
      </c>
      <c r="L2471" s="1"/>
    </row>
    <row r="2472" spans="1:12" ht="18" customHeight="1" x14ac:dyDescent="0.15">
      <c r="A2472" s="11">
        <v>2592</v>
      </c>
      <c r="B2472" s="11" t="s">
        <v>53</v>
      </c>
      <c r="C2472" s="11" t="s">
        <v>160</v>
      </c>
      <c r="D2472" s="11">
        <v>1</v>
      </c>
      <c r="E2472" s="11" t="s">
        <v>4</v>
      </c>
      <c r="F2472" s="12">
        <v>93500</v>
      </c>
      <c r="G2472" s="12">
        <v>93500</v>
      </c>
      <c r="H2472" s="11" t="str">
        <f t="shared" si="80"/>
        <v>平成6年9月14日</v>
      </c>
      <c r="I2472" s="22">
        <f t="shared" si="81"/>
        <v>34591</v>
      </c>
      <c r="J2472" s="1" t="str">
        <f>"00741579"</f>
        <v>00741579</v>
      </c>
      <c r="K2472" s="1" t="str">
        <f>"１３５３　　　　　　　　　　　　　　　　"</f>
        <v>１３５３　　　　　　　　　　　　　　　　</v>
      </c>
      <c r="L2472" s="1"/>
    </row>
    <row r="2473" spans="1:12" ht="18" customHeight="1" x14ac:dyDescent="0.15">
      <c r="A2473" s="11">
        <v>2593</v>
      </c>
      <c r="B2473" s="11" t="s">
        <v>53</v>
      </c>
      <c r="C2473" s="11" t="s">
        <v>160</v>
      </c>
      <c r="D2473" s="11">
        <v>1</v>
      </c>
      <c r="E2473" s="11" t="s">
        <v>4</v>
      </c>
      <c r="F2473" s="12">
        <v>93500</v>
      </c>
      <c r="G2473" s="12">
        <v>93500</v>
      </c>
      <c r="H2473" s="11" t="str">
        <f t="shared" si="80"/>
        <v>平成6年9月14日</v>
      </c>
      <c r="I2473" s="22">
        <f t="shared" si="81"/>
        <v>34591</v>
      </c>
      <c r="J2473" s="1" t="str">
        <f>"00741581"</f>
        <v>00741581</v>
      </c>
      <c r="K2473" s="1" t="str">
        <f>"１３５４　　　　　　　　　　　　　　　　"</f>
        <v>１３５４　　　　　　　　　　　　　　　　</v>
      </c>
      <c r="L2473" s="1"/>
    </row>
    <row r="2474" spans="1:12" ht="18" customHeight="1" x14ac:dyDescent="0.15">
      <c r="A2474" s="11">
        <v>2594</v>
      </c>
      <c r="B2474" s="11" t="s">
        <v>53</v>
      </c>
      <c r="C2474" s="11" t="s">
        <v>160</v>
      </c>
      <c r="D2474" s="11">
        <v>1</v>
      </c>
      <c r="E2474" s="11" t="s">
        <v>4</v>
      </c>
      <c r="F2474" s="12">
        <v>93500</v>
      </c>
      <c r="G2474" s="12">
        <v>93500</v>
      </c>
      <c r="H2474" s="11" t="str">
        <f t="shared" si="80"/>
        <v>平成6年9月14日</v>
      </c>
      <c r="I2474" s="22">
        <f t="shared" si="81"/>
        <v>34591</v>
      </c>
      <c r="J2474" s="1" t="str">
        <f>"00741583"</f>
        <v>00741583</v>
      </c>
      <c r="K2474" s="1" t="str">
        <f>"１３５５　　　　　　　　　　　　　　　　"</f>
        <v>１３５５　　　　　　　　　　　　　　　　</v>
      </c>
      <c r="L2474" s="1"/>
    </row>
    <row r="2475" spans="1:12" ht="18" customHeight="1" x14ac:dyDescent="0.15">
      <c r="A2475" s="11">
        <v>2595</v>
      </c>
      <c r="B2475" s="11" t="s">
        <v>53</v>
      </c>
      <c r="C2475" s="11" t="s">
        <v>160</v>
      </c>
      <c r="D2475" s="11">
        <v>1</v>
      </c>
      <c r="E2475" s="11" t="s">
        <v>4</v>
      </c>
      <c r="F2475" s="12">
        <v>93500</v>
      </c>
      <c r="G2475" s="12">
        <v>93500</v>
      </c>
      <c r="H2475" s="11" t="str">
        <f t="shared" si="80"/>
        <v>平成6年9月14日</v>
      </c>
      <c r="I2475" s="22">
        <f t="shared" si="81"/>
        <v>34591</v>
      </c>
      <c r="J2475" s="1" t="str">
        <f>"00741585"</f>
        <v>00741585</v>
      </c>
      <c r="K2475" s="1" t="str">
        <f>"１３５６　　　　　　　　　　　　　　　　"</f>
        <v>１３５６　　　　　　　　　　　　　　　　</v>
      </c>
      <c r="L2475" s="1"/>
    </row>
    <row r="2476" spans="1:12" ht="18" customHeight="1" x14ac:dyDescent="0.15">
      <c r="A2476" s="11">
        <v>2596</v>
      </c>
      <c r="B2476" s="11" t="s">
        <v>53</v>
      </c>
      <c r="C2476" s="11" t="s">
        <v>160</v>
      </c>
      <c r="D2476" s="11">
        <v>1</v>
      </c>
      <c r="E2476" s="11" t="s">
        <v>4</v>
      </c>
      <c r="F2476" s="12">
        <v>93500</v>
      </c>
      <c r="G2476" s="12">
        <v>93500</v>
      </c>
      <c r="H2476" s="11" t="str">
        <f t="shared" si="80"/>
        <v>平成6年9月14日</v>
      </c>
      <c r="I2476" s="22">
        <f t="shared" si="81"/>
        <v>34591</v>
      </c>
      <c r="J2476" s="1" t="str">
        <f>"00741587"</f>
        <v>00741587</v>
      </c>
      <c r="K2476" s="1" t="str">
        <f>"１３５７　　　　　　　　　　　　　　　　"</f>
        <v>１３５７　　　　　　　　　　　　　　　　</v>
      </c>
      <c r="L2476" s="1"/>
    </row>
    <row r="2477" spans="1:12" ht="18" customHeight="1" x14ac:dyDescent="0.15">
      <c r="A2477" s="11">
        <v>2597</v>
      </c>
      <c r="B2477" s="11" t="s">
        <v>53</v>
      </c>
      <c r="C2477" s="11" t="s">
        <v>160</v>
      </c>
      <c r="D2477" s="11">
        <v>1</v>
      </c>
      <c r="E2477" s="11" t="s">
        <v>4</v>
      </c>
      <c r="F2477" s="12">
        <v>93500</v>
      </c>
      <c r="G2477" s="12">
        <v>93500</v>
      </c>
      <c r="H2477" s="11" t="str">
        <f t="shared" si="80"/>
        <v>平成6年9月14日</v>
      </c>
      <c r="I2477" s="22">
        <f t="shared" si="81"/>
        <v>34591</v>
      </c>
      <c r="J2477" s="1" t="str">
        <f>"00741589"</f>
        <v>00741589</v>
      </c>
      <c r="K2477" s="1" t="str">
        <f>"１３５８　　　　　　　　　　　　　　　　"</f>
        <v>１３５８　　　　　　　　　　　　　　　　</v>
      </c>
      <c r="L2477" s="1"/>
    </row>
    <row r="2478" spans="1:12" ht="18" customHeight="1" x14ac:dyDescent="0.15">
      <c r="A2478" s="11">
        <v>2598</v>
      </c>
      <c r="B2478" s="11" t="s">
        <v>53</v>
      </c>
      <c r="C2478" s="11" t="s">
        <v>160</v>
      </c>
      <c r="D2478" s="11">
        <v>1</v>
      </c>
      <c r="E2478" s="11" t="s">
        <v>4</v>
      </c>
      <c r="F2478" s="12">
        <v>93500</v>
      </c>
      <c r="G2478" s="12">
        <v>93500</v>
      </c>
      <c r="H2478" s="11" t="str">
        <f t="shared" si="80"/>
        <v>平成6年9月14日</v>
      </c>
      <c r="I2478" s="22">
        <f t="shared" si="81"/>
        <v>34591</v>
      </c>
      <c r="J2478" s="1" t="str">
        <f>"00741591"</f>
        <v>00741591</v>
      </c>
      <c r="K2478" s="1" t="str">
        <f>"１３５９　　　　　　　　　　　　　　　　"</f>
        <v>１３５９　　　　　　　　　　　　　　　　</v>
      </c>
      <c r="L2478" s="1"/>
    </row>
    <row r="2479" spans="1:12" ht="18" customHeight="1" x14ac:dyDescent="0.15">
      <c r="A2479" s="11">
        <v>2599</v>
      </c>
      <c r="B2479" s="11" t="s">
        <v>53</v>
      </c>
      <c r="C2479" s="11" t="s">
        <v>160</v>
      </c>
      <c r="D2479" s="11">
        <v>1</v>
      </c>
      <c r="E2479" s="11" t="s">
        <v>4</v>
      </c>
      <c r="F2479" s="12">
        <v>93500</v>
      </c>
      <c r="G2479" s="12">
        <v>93500</v>
      </c>
      <c r="H2479" s="11" t="str">
        <f t="shared" si="80"/>
        <v>平成6年9月14日</v>
      </c>
      <c r="I2479" s="22">
        <f t="shared" si="81"/>
        <v>34591</v>
      </c>
      <c r="J2479" s="1" t="str">
        <f>"00741593"</f>
        <v>00741593</v>
      </c>
      <c r="K2479" s="1" t="str">
        <f>"１３６０　　　　　　　　　　　　　　　　"</f>
        <v>１３６０　　　　　　　　　　　　　　　　</v>
      </c>
      <c r="L2479" s="1"/>
    </row>
    <row r="2480" spans="1:12" ht="18" customHeight="1" x14ac:dyDescent="0.15">
      <c r="A2480" s="11">
        <v>2600</v>
      </c>
      <c r="B2480" s="11" t="s">
        <v>53</v>
      </c>
      <c r="C2480" s="11" t="s">
        <v>160</v>
      </c>
      <c r="D2480" s="11">
        <v>1</v>
      </c>
      <c r="E2480" s="11" t="s">
        <v>4</v>
      </c>
      <c r="F2480" s="12">
        <v>93500</v>
      </c>
      <c r="G2480" s="12">
        <v>93500</v>
      </c>
      <c r="H2480" s="11" t="str">
        <f t="shared" si="80"/>
        <v>平成6年9月14日</v>
      </c>
      <c r="I2480" s="22">
        <f t="shared" si="81"/>
        <v>34591</v>
      </c>
      <c r="J2480" s="1" t="str">
        <f>"00741595"</f>
        <v>00741595</v>
      </c>
      <c r="K2480" s="1" t="str">
        <f>"１３６１　　　　　　　　　　　　　　　　"</f>
        <v>１３６１　　　　　　　　　　　　　　　　</v>
      </c>
      <c r="L2480" s="1"/>
    </row>
    <row r="2481" spans="1:12" ht="18" customHeight="1" x14ac:dyDescent="0.15">
      <c r="A2481" s="11">
        <v>2601</v>
      </c>
      <c r="B2481" s="11" t="s">
        <v>53</v>
      </c>
      <c r="C2481" s="11" t="s">
        <v>160</v>
      </c>
      <c r="D2481" s="11">
        <v>1</v>
      </c>
      <c r="E2481" s="11" t="s">
        <v>4</v>
      </c>
      <c r="F2481" s="12">
        <v>93500</v>
      </c>
      <c r="G2481" s="12">
        <v>93500</v>
      </c>
      <c r="H2481" s="11" t="str">
        <f t="shared" si="80"/>
        <v>平成6年9月14日</v>
      </c>
      <c r="I2481" s="22">
        <f t="shared" si="81"/>
        <v>34591</v>
      </c>
      <c r="J2481" s="1" t="str">
        <f>"00741597"</f>
        <v>00741597</v>
      </c>
      <c r="K2481" s="1" t="str">
        <f>"１３６２　　　　　　　　　　　　　　　　"</f>
        <v>１３６２　　　　　　　　　　　　　　　　</v>
      </c>
      <c r="L2481" s="1"/>
    </row>
    <row r="2482" spans="1:12" ht="18" customHeight="1" x14ac:dyDescent="0.15">
      <c r="A2482" s="11">
        <v>2602</v>
      </c>
      <c r="B2482" s="11" t="s">
        <v>53</v>
      </c>
      <c r="C2482" s="11" t="s">
        <v>160</v>
      </c>
      <c r="D2482" s="11">
        <v>1</v>
      </c>
      <c r="E2482" s="11" t="s">
        <v>4</v>
      </c>
      <c r="F2482" s="12">
        <v>93500</v>
      </c>
      <c r="G2482" s="12">
        <v>93500</v>
      </c>
      <c r="H2482" s="11" t="str">
        <f t="shared" si="80"/>
        <v>平成6年9月14日</v>
      </c>
      <c r="I2482" s="22">
        <f t="shared" si="81"/>
        <v>34591</v>
      </c>
      <c r="J2482" s="1" t="str">
        <f>"00741599"</f>
        <v>00741599</v>
      </c>
      <c r="K2482" s="1" t="str">
        <f>"１３６３　　　　　　　　　　　　　　　　"</f>
        <v>１３６３　　　　　　　　　　　　　　　　</v>
      </c>
      <c r="L2482" s="1"/>
    </row>
    <row r="2483" spans="1:12" ht="18" customHeight="1" x14ac:dyDescent="0.15">
      <c r="A2483" s="11">
        <v>2603</v>
      </c>
      <c r="B2483" s="11" t="s">
        <v>53</v>
      </c>
      <c r="C2483" s="11" t="s">
        <v>160</v>
      </c>
      <c r="D2483" s="11">
        <v>1</v>
      </c>
      <c r="E2483" s="11" t="s">
        <v>4</v>
      </c>
      <c r="F2483" s="12">
        <v>93500</v>
      </c>
      <c r="G2483" s="12">
        <v>93500</v>
      </c>
      <c r="H2483" s="11" t="str">
        <f t="shared" si="80"/>
        <v>平成6年9月14日</v>
      </c>
      <c r="I2483" s="22">
        <f t="shared" si="81"/>
        <v>34591</v>
      </c>
      <c r="J2483" s="1" t="str">
        <f>"00741601"</f>
        <v>00741601</v>
      </c>
      <c r="K2483" s="1" t="str">
        <f>"１３６４　　　　　　　　　　　　　　　　"</f>
        <v>１３６４　　　　　　　　　　　　　　　　</v>
      </c>
      <c r="L2483" s="1"/>
    </row>
    <row r="2484" spans="1:12" ht="18" customHeight="1" x14ac:dyDescent="0.15">
      <c r="A2484" s="11">
        <v>2604</v>
      </c>
      <c r="B2484" s="11" t="s">
        <v>53</v>
      </c>
      <c r="C2484" s="11" t="s">
        <v>160</v>
      </c>
      <c r="D2484" s="11">
        <v>1</v>
      </c>
      <c r="E2484" s="11" t="s">
        <v>4</v>
      </c>
      <c r="F2484" s="12">
        <v>93500</v>
      </c>
      <c r="G2484" s="12">
        <v>93500</v>
      </c>
      <c r="H2484" s="11" t="str">
        <f t="shared" si="80"/>
        <v>平成6年9月14日</v>
      </c>
      <c r="I2484" s="22">
        <f t="shared" si="81"/>
        <v>34591</v>
      </c>
      <c r="J2484" s="1" t="str">
        <f>"00741603"</f>
        <v>00741603</v>
      </c>
      <c r="K2484" s="1" t="str">
        <f>"１３６５　　　　　　　　　　　　　　　　"</f>
        <v>１３６５　　　　　　　　　　　　　　　　</v>
      </c>
      <c r="L2484" s="1"/>
    </row>
    <row r="2485" spans="1:12" ht="18" customHeight="1" x14ac:dyDescent="0.15">
      <c r="A2485" s="11">
        <v>2605</v>
      </c>
      <c r="B2485" s="11" t="s">
        <v>53</v>
      </c>
      <c r="C2485" s="11" t="s">
        <v>161</v>
      </c>
      <c r="D2485" s="11">
        <v>1</v>
      </c>
      <c r="E2485" s="11" t="s">
        <v>4</v>
      </c>
      <c r="F2485" s="12">
        <v>52650</v>
      </c>
      <c r="G2485" s="12">
        <v>52650</v>
      </c>
      <c r="H2485" s="11" t="str">
        <f t="shared" si="80"/>
        <v>平成6年9月14日</v>
      </c>
      <c r="I2485" s="22">
        <f t="shared" si="81"/>
        <v>34591</v>
      </c>
      <c r="J2485" s="1" t="str">
        <f>"00741605"</f>
        <v>00741605</v>
      </c>
      <c r="K2485" s="1" t="str">
        <f>"１３６６　　　　　　　　　　　　　　　　"</f>
        <v>１３６６　　　　　　　　　　　　　　　　</v>
      </c>
      <c r="L2485" s="1"/>
    </row>
    <row r="2486" spans="1:12" ht="18" customHeight="1" x14ac:dyDescent="0.15">
      <c r="A2486" s="11">
        <v>2606</v>
      </c>
      <c r="B2486" s="11" t="s">
        <v>53</v>
      </c>
      <c r="C2486" s="11" t="s">
        <v>161</v>
      </c>
      <c r="D2486" s="11">
        <v>1</v>
      </c>
      <c r="E2486" s="11" t="s">
        <v>4</v>
      </c>
      <c r="F2486" s="12">
        <v>52650</v>
      </c>
      <c r="G2486" s="12">
        <v>52650</v>
      </c>
      <c r="H2486" s="11" t="str">
        <f t="shared" si="80"/>
        <v>平成6年9月14日</v>
      </c>
      <c r="I2486" s="22">
        <f t="shared" si="81"/>
        <v>34591</v>
      </c>
      <c r="J2486" s="1" t="str">
        <f>"00741607"</f>
        <v>00741607</v>
      </c>
      <c r="K2486" s="1" t="str">
        <f>"１３６７　　　　　　　　　　　　　　　　"</f>
        <v>１３６７　　　　　　　　　　　　　　　　</v>
      </c>
      <c r="L2486" s="1"/>
    </row>
    <row r="2487" spans="1:12" ht="18" customHeight="1" x14ac:dyDescent="0.15">
      <c r="A2487" s="11">
        <v>2607</v>
      </c>
      <c r="B2487" s="11" t="s">
        <v>53</v>
      </c>
      <c r="C2487" s="11" t="s">
        <v>161</v>
      </c>
      <c r="D2487" s="11">
        <v>1</v>
      </c>
      <c r="E2487" s="11" t="s">
        <v>4</v>
      </c>
      <c r="F2487" s="12">
        <v>52650</v>
      </c>
      <c r="G2487" s="12">
        <v>52650</v>
      </c>
      <c r="H2487" s="11" t="str">
        <f t="shared" si="80"/>
        <v>平成6年9月14日</v>
      </c>
      <c r="I2487" s="22">
        <f t="shared" si="81"/>
        <v>34591</v>
      </c>
      <c r="J2487" s="1" t="str">
        <f>"00741609"</f>
        <v>00741609</v>
      </c>
      <c r="K2487" s="1" t="str">
        <f>"１３６８　　　　　　　　　　　　　　　　"</f>
        <v>１３６８　　　　　　　　　　　　　　　　</v>
      </c>
      <c r="L2487" s="1"/>
    </row>
    <row r="2488" spans="1:12" ht="18" customHeight="1" x14ac:dyDescent="0.15">
      <c r="A2488" s="11">
        <v>2608</v>
      </c>
      <c r="B2488" s="11" t="s">
        <v>53</v>
      </c>
      <c r="C2488" s="11" t="s">
        <v>161</v>
      </c>
      <c r="D2488" s="11">
        <v>1</v>
      </c>
      <c r="E2488" s="11" t="s">
        <v>4</v>
      </c>
      <c r="F2488" s="12">
        <v>52650</v>
      </c>
      <c r="G2488" s="12">
        <v>52650</v>
      </c>
      <c r="H2488" s="11" t="str">
        <f t="shared" si="80"/>
        <v>平成6年9月14日</v>
      </c>
      <c r="I2488" s="22">
        <f t="shared" si="81"/>
        <v>34591</v>
      </c>
      <c r="J2488" s="1" t="str">
        <f>"00741611"</f>
        <v>00741611</v>
      </c>
      <c r="K2488" s="1" t="str">
        <f>"１３６９　　　　　　　　　　　　　　　　"</f>
        <v>１３６９　　　　　　　　　　　　　　　　</v>
      </c>
      <c r="L2488" s="1"/>
    </row>
    <row r="2489" spans="1:12" ht="18" customHeight="1" x14ac:dyDescent="0.15">
      <c r="A2489" s="11">
        <v>2609</v>
      </c>
      <c r="B2489" s="11" t="s">
        <v>53</v>
      </c>
      <c r="C2489" s="11" t="s">
        <v>161</v>
      </c>
      <c r="D2489" s="11">
        <v>1</v>
      </c>
      <c r="E2489" s="11" t="s">
        <v>4</v>
      </c>
      <c r="F2489" s="12">
        <v>52650</v>
      </c>
      <c r="G2489" s="12">
        <v>52650</v>
      </c>
      <c r="H2489" s="11" t="str">
        <f t="shared" si="80"/>
        <v>平成6年9月14日</v>
      </c>
      <c r="I2489" s="22">
        <f t="shared" si="81"/>
        <v>34591</v>
      </c>
      <c r="J2489" s="1" t="str">
        <f>"00741613"</f>
        <v>00741613</v>
      </c>
      <c r="K2489" s="1" t="str">
        <f>"１３７０　　　　　　　　　　　　　　　　"</f>
        <v>１３７０　　　　　　　　　　　　　　　　</v>
      </c>
      <c r="L2489" s="1"/>
    </row>
    <row r="2490" spans="1:12" ht="18" customHeight="1" x14ac:dyDescent="0.15">
      <c r="A2490" s="11">
        <v>2610</v>
      </c>
      <c r="B2490" s="11" t="s">
        <v>53</v>
      </c>
      <c r="C2490" s="11" t="s">
        <v>161</v>
      </c>
      <c r="D2490" s="11">
        <v>1</v>
      </c>
      <c r="E2490" s="11" t="s">
        <v>4</v>
      </c>
      <c r="F2490" s="12">
        <v>52650</v>
      </c>
      <c r="G2490" s="12">
        <v>52650</v>
      </c>
      <c r="H2490" s="11" t="str">
        <f t="shared" si="80"/>
        <v>平成6年9月14日</v>
      </c>
      <c r="I2490" s="22">
        <f t="shared" si="81"/>
        <v>34591</v>
      </c>
      <c r="J2490" s="1" t="str">
        <f>"00741615"</f>
        <v>00741615</v>
      </c>
      <c r="K2490" s="1" t="str">
        <f>"１３７１　　　　　　　　　　　　　　　　"</f>
        <v>１３７１　　　　　　　　　　　　　　　　</v>
      </c>
      <c r="L2490" s="1"/>
    </row>
    <row r="2491" spans="1:12" ht="18" customHeight="1" x14ac:dyDescent="0.15">
      <c r="A2491" s="11">
        <v>2611</v>
      </c>
      <c r="B2491" s="11" t="s">
        <v>53</v>
      </c>
      <c r="C2491" s="11" t="s">
        <v>161</v>
      </c>
      <c r="D2491" s="11">
        <v>1</v>
      </c>
      <c r="E2491" s="11" t="s">
        <v>4</v>
      </c>
      <c r="F2491" s="12">
        <v>52650</v>
      </c>
      <c r="G2491" s="12">
        <v>52650</v>
      </c>
      <c r="H2491" s="11" t="str">
        <f t="shared" si="80"/>
        <v>平成6年9月14日</v>
      </c>
      <c r="I2491" s="22">
        <f t="shared" si="81"/>
        <v>34591</v>
      </c>
      <c r="J2491" s="1" t="str">
        <f>"00741617"</f>
        <v>00741617</v>
      </c>
      <c r="K2491" s="1" t="str">
        <f>"１３７２　　　　　　　　　　　　　　　　"</f>
        <v>１３７２　　　　　　　　　　　　　　　　</v>
      </c>
      <c r="L2491" s="1"/>
    </row>
    <row r="2492" spans="1:12" ht="18" customHeight="1" x14ac:dyDescent="0.15">
      <c r="A2492" s="11">
        <v>2612</v>
      </c>
      <c r="B2492" s="11" t="s">
        <v>53</v>
      </c>
      <c r="C2492" s="11" t="s">
        <v>161</v>
      </c>
      <c r="D2492" s="11">
        <v>1</v>
      </c>
      <c r="E2492" s="11" t="s">
        <v>4</v>
      </c>
      <c r="F2492" s="12">
        <v>52650</v>
      </c>
      <c r="G2492" s="12">
        <v>52650</v>
      </c>
      <c r="H2492" s="11" t="str">
        <f t="shared" si="80"/>
        <v>平成6年9月14日</v>
      </c>
      <c r="I2492" s="22">
        <f t="shared" si="81"/>
        <v>34591</v>
      </c>
      <c r="J2492" s="1" t="str">
        <f>"00741619"</f>
        <v>00741619</v>
      </c>
      <c r="K2492" s="1" t="str">
        <f>"１３７３　　　　　　　　　　　　　　　　"</f>
        <v>１３７３　　　　　　　　　　　　　　　　</v>
      </c>
      <c r="L2492" s="1"/>
    </row>
    <row r="2493" spans="1:12" ht="18" customHeight="1" x14ac:dyDescent="0.15">
      <c r="A2493" s="11">
        <v>2613</v>
      </c>
      <c r="B2493" s="11" t="s">
        <v>53</v>
      </c>
      <c r="C2493" s="11" t="s">
        <v>161</v>
      </c>
      <c r="D2493" s="11">
        <v>1</v>
      </c>
      <c r="E2493" s="11" t="s">
        <v>4</v>
      </c>
      <c r="F2493" s="12">
        <v>52650</v>
      </c>
      <c r="G2493" s="12">
        <v>52650</v>
      </c>
      <c r="H2493" s="11" t="str">
        <f t="shared" si="80"/>
        <v>平成6年9月14日</v>
      </c>
      <c r="I2493" s="22">
        <f t="shared" si="81"/>
        <v>34591</v>
      </c>
      <c r="J2493" s="1" t="str">
        <f>"00741621"</f>
        <v>00741621</v>
      </c>
      <c r="K2493" s="1" t="str">
        <f>"１３７４　　　　　　　　　　　　　　　　"</f>
        <v>１３７４　　　　　　　　　　　　　　　　</v>
      </c>
      <c r="L2493" s="1"/>
    </row>
    <row r="2494" spans="1:12" ht="18" customHeight="1" x14ac:dyDescent="0.15">
      <c r="A2494" s="11">
        <v>2614</v>
      </c>
      <c r="B2494" s="11" t="s">
        <v>53</v>
      </c>
      <c r="C2494" s="11" t="s">
        <v>161</v>
      </c>
      <c r="D2494" s="11">
        <v>1</v>
      </c>
      <c r="E2494" s="11" t="s">
        <v>4</v>
      </c>
      <c r="F2494" s="12">
        <v>52650</v>
      </c>
      <c r="G2494" s="12">
        <v>52650</v>
      </c>
      <c r="H2494" s="11" t="str">
        <f t="shared" si="80"/>
        <v>平成6年9月14日</v>
      </c>
      <c r="I2494" s="22">
        <f t="shared" si="81"/>
        <v>34591</v>
      </c>
      <c r="J2494" s="1" t="str">
        <f>"00741623"</f>
        <v>00741623</v>
      </c>
      <c r="K2494" s="1" t="str">
        <f>"１３７５　　　　　　　　　　　　　　　　"</f>
        <v>１３７５　　　　　　　　　　　　　　　　</v>
      </c>
      <c r="L2494" s="1"/>
    </row>
    <row r="2495" spans="1:12" ht="18" customHeight="1" x14ac:dyDescent="0.15">
      <c r="A2495" s="11">
        <v>2615</v>
      </c>
      <c r="B2495" s="11" t="s">
        <v>53</v>
      </c>
      <c r="C2495" s="11" t="s">
        <v>161</v>
      </c>
      <c r="D2495" s="11">
        <v>1</v>
      </c>
      <c r="E2495" s="11" t="s">
        <v>4</v>
      </c>
      <c r="F2495" s="12">
        <v>52650</v>
      </c>
      <c r="G2495" s="12">
        <v>52650</v>
      </c>
      <c r="H2495" s="11" t="str">
        <f t="shared" si="80"/>
        <v>平成6年9月14日</v>
      </c>
      <c r="I2495" s="22">
        <f t="shared" si="81"/>
        <v>34591</v>
      </c>
      <c r="J2495" s="1" t="str">
        <f>"00741625"</f>
        <v>00741625</v>
      </c>
      <c r="K2495" s="1" t="str">
        <f>"１３７６　　　　　　　　　　　　　　　　"</f>
        <v>１３７６　　　　　　　　　　　　　　　　</v>
      </c>
      <c r="L2495" s="1"/>
    </row>
    <row r="2496" spans="1:12" ht="18" customHeight="1" x14ac:dyDescent="0.15">
      <c r="A2496" s="11">
        <v>2616</v>
      </c>
      <c r="B2496" s="11" t="s">
        <v>53</v>
      </c>
      <c r="C2496" s="11" t="s">
        <v>161</v>
      </c>
      <c r="D2496" s="11">
        <v>1</v>
      </c>
      <c r="E2496" s="11" t="s">
        <v>4</v>
      </c>
      <c r="F2496" s="12">
        <v>52650</v>
      </c>
      <c r="G2496" s="12">
        <v>52650</v>
      </c>
      <c r="H2496" s="11" t="str">
        <f t="shared" si="80"/>
        <v>平成6年9月14日</v>
      </c>
      <c r="I2496" s="22">
        <f t="shared" si="81"/>
        <v>34591</v>
      </c>
      <c r="J2496" s="1" t="str">
        <f>"00741627"</f>
        <v>00741627</v>
      </c>
      <c r="K2496" s="1" t="str">
        <f>"１３７７　　　　　　　　　　　　　　　　"</f>
        <v>１３７７　　　　　　　　　　　　　　　　</v>
      </c>
      <c r="L2496" s="1"/>
    </row>
    <row r="2497" spans="1:12" ht="18" customHeight="1" x14ac:dyDescent="0.15">
      <c r="A2497" s="11">
        <v>2617</v>
      </c>
      <c r="B2497" s="11" t="s">
        <v>53</v>
      </c>
      <c r="C2497" s="11" t="s">
        <v>161</v>
      </c>
      <c r="D2497" s="11">
        <v>1</v>
      </c>
      <c r="E2497" s="11" t="s">
        <v>4</v>
      </c>
      <c r="F2497" s="12">
        <v>52650</v>
      </c>
      <c r="G2497" s="12">
        <v>52650</v>
      </c>
      <c r="H2497" s="11" t="str">
        <f t="shared" si="80"/>
        <v>平成6年9月14日</v>
      </c>
      <c r="I2497" s="22">
        <f t="shared" si="81"/>
        <v>34591</v>
      </c>
      <c r="J2497" s="1" t="str">
        <f>"00741629"</f>
        <v>00741629</v>
      </c>
      <c r="K2497" s="1" t="str">
        <f>"１３７８　　　　　　　　　　　　　　　　"</f>
        <v>１３７８　　　　　　　　　　　　　　　　</v>
      </c>
      <c r="L2497" s="1"/>
    </row>
    <row r="2498" spans="1:12" ht="18" customHeight="1" x14ac:dyDescent="0.15">
      <c r="A2498" s="11">
        <v>2618</v>
      </c>
      <c r="B2498" s="11" t="s">
        <v>53</v>
      </c>
      <c r="C2498" s="11" t="s">
        <v>161</v>
      </c>
      <c r="D2498" s="11">
        <v>1</v>
      </c>
      <c r="E2498" s="11" t="s">
        <v>4</v>
      </c>
      <c r="F2498" s="12">
        <v>52650</v>
      </c>
      <c r="G2498" s="12">
        <v>52650</v>
      </c>
      <c r="H2498" s="11" t="str">
        <f t="shared" si="80"/>
        <v>平成6年9月14日</v>
      </c>
      <c r="I2498" s="22">
        <f t="shared" si="81"/>
        <v>34591</v>
      </c>
      <c r="J2498" s="1" t="str">
        <f>"00741631"</f>
        <v>00741631</v>
      </c>
      <c r="K2498" s="1" t="str">
        <f>"１３７９　　　　　　　　　　　　　　　　"</f>
        <v>１３７９　　　　　　　　　　　　　　　　</v>
      </c>
      <c r="L2498" s="1"/>
    </row>
    <row r="2499" spans="1:12" ht="18" customHeight="1" x14ac:dyDescent="0.15">
      <c r="A2499" s="11">
        <v>2619</v>
      </c>
      <c r="B2499" s="11" t="s">
        <v>53</v>
      </c>
      <c r="C2499" s="11" t="s">
        <v>161</v>
      </c>
      <c r="D2499" s="11">
        <v>1</v>
      </c>
      <c r="E2499" s="11" t="s">
        <v>4</v>
      </c>
      <c r="F2499" s="12">
        <v>52650</v>
      </c>
      <c r="G2499" s="12">
        <v>52650</v>
      </c>
      <c r="H2499" s="11" t="str">
        <f t="shared" si="80"/>
        <v>平成6年9月14日</v>
      </c>
      <c r="I2499" s="22">
        <f t="shared" si="81"/>
        <v>34591</v>
      </c>
      <c r="J2499" s="1" t="str">
        <f>"00741633"</f>
        <v>00741633</v>
      </c>
      <c r="K2499" s="1" t="str">
        <f>"１３８０　　　　　　　　　　　　　　　　"</f>
        <v>１３８０　　　　　　　　　　　　　　　　</v>
      </c>
      <c r="L2499" s="1"/>
    </row>
    <row r="2500" spans="1:12" ht="18" customHeight="1" x14ac:dyDescent="0.15">
      <c r="A2500" s="11">
        <v>2620</v>
      </c>
      <c r="B2500" s="11" t="s">
        <v>53</v>
      </c>
      <c r="C2500" s="11" t="s">
        <v>161</v>
      </c>
      <c r="D2500" s="11">
        <v>1</v>
      </c>
      <c r="E2500" s="11" t="s">
        <v>4</v>
      </c>
      <c r="F2500" s="12">
        <v>52650</v>
      </c>
      <c r="G2500" s="12">
        <v>52650</v>
      </c>
      <c r="H2500" s="11" t="str">
        <f t="shared" si="80"/>
        <v>平成6年9月14日</v>
      </c>
      <c r="I2500" s="22">
        <f t="shared" si="81"/>
        <v>34591</v>
      </c>
      <c r="J2500" s="1" t="str">
        <f>"00741635"</f>
        <v>00741635</v>
      </c>
      <c r="K2500" s="1" t="str">
        <f>"１３８１　　　　　　　　　　　　　　　　"</f>
        <v>１３８１　　　　　　　　　　　　　　　　</v>
      </c>
      <c r="L2500" s="1"/>
    </row>
    <row r="2501" spans="1:12" ht="18" customHeight="1" x14ac:dyDescent="0.15">
      <c r="A2501" s="11">
        <v>2621</v>
      </c>
      <c r="B2501" s="11" t="s">
        <v>53</v>
      </c>
      <c r="C2501" s="11" t="s">
        <v>161</v>
      </c>
      <c r="D2501" s="11">
        <v>1</v>
      </c>
      <c r="E2501" s="11" t="s">
        <v>4</v>
      </c>
      <c r="F2501" s="12">
        <v>52650</v>
      </c>
      <c r="G2501" s="12">
        <v>52650</v>
      </c>
      <c r="H2501" s="11" t="str">
        <f t="shared" si="80"/>
        <v>平成6年9月14日</v>
      </c>
      <c r="I2501" s="22">
        <f t="shared" si="81"/>
        <v>34591</v>
      </c>
      <c r="J2501" s="1" t="str">
        <f>"00741637"</f>
        <v>00741637</v>
      </c>
      <c r="K2501" s="1" t="str">
        <f>"１３８２　　　　　　　　　　　　　　　　"</f>
        <v>１３８２　　　　　　　　　　　　　　　　</v>
      </c>
      <c r="L2501" s="1"/>
    </row>
    <row r="2502" spans="1:12" ht="18" customHeight="1" x14ac:dyDescent="0.15">
      <c r="A2502" s="11">
        <v>2622</v>
      </c>
      <c r="B2502" s="11" t="s">
        <v>53</v>
      </c>
      <c r="C2502" s="11" t="s">
        <v>161</v>
      </c>
      <c r="D2502" s="11">
        <v>1</v>
      </c>
      <c r="E2502" s="11" t="s">
        <v>4</v>
      </c>
      <c r="F2502" s="12">
        <v>52650</v>
      </c>
      <c r="G2502" s="12">
        <v>52650</v>
      </c>
      <c r="H2502" s="11" t="str">
        <f t="shared" si="80"/>
        <v>平成6年9月14日</v>
      </c>
      <c r="I2502" s="22">
        <f t="shared" si="81"/>
        <v>34591</v>
      </c>
      <c r="J2502" s="1" t="str">
        <f>"00741639"</f>
        <v>00741639</v>
      </c>
      <c r="K2502" s="1" t="str">
        <f>"１３８３　　　　　　　　　　　　　　　　"</f>
        <v>１３８３　　　　　　　　　　　　　　　　</v>
      </c>
      <c r="L2502" s="1"/>
    </row>
    <row r="2503" spans="1:12" ht="18" customHeight="1" x14ac:dyDescent="0.15">
      <c r="A2503" s="11">
        <v>2623</v>
      </c>
      <c r="B2503" s="11" t="s">
        <v>53</v>
      </c>
      <c r="C2503" s="11" t="s">
        <v>161</v>
      </c>
      <c r="D2503" s="11">
        <v>1</v>
      </c>
      <c r="E2503" s="11" t="s">
        <v>4</v>
      </c>
      <c r="F2503" s="12">
        <v>52650</v>
      </c>
      <c r="G2503" s="12">
        <v>52650</v>
      </c>
      <c r="H2503" s="11" t="str">
        <f t="shared" si="80"/>
        <v>平成6年9月14日</v>
      </c>
      <c r="I2503" s="22">
        <f t="shared" si="81"/>
        <v>34591</v>
      </c>
      <c r="J2503" s="1" t="str">
        <f>"00741641"</f>
        <v>00741641</v>
      </c>
      <c r="K2503" s="1" t="str">
        <f>"１３８４　　　　　　　　　　　　　　　　"</f>
        <v>１３８４　　　　　　　　　　　　　　　　</v>
      </c>
      <c r="L2503" s="1"/>
    </row>
    <row r="2504" spans="1:12" ht="18" customHeight="1" x14ac:dyDescent="0.15">
      <c r="A2504" s="11">
        <v>2624</v>
      </c>
      <c r="B2504" s="11" t="s">
        <v>53</v>
      </c>
      <c r="C2504" s="11" t="s">
        <v>161</v>
      </c>
      <c r="D2504" s="11">
        <v>1</v>
      </c>
      <c r="E2504" s="11" t="s">
        <v>4</v>
      </c>
      <c r="F2504" s="12">
        <v>52650</v>
      </c>
      <c r="G2504" s="12">
        <v>52650</v>
      </c>
      <c r="H2504" s="11" t="str">
        <f t="shared" si="80"/>
        <v>平成6年9月14日</v>
      </c>
      <c r="I2504" s="22">
        <f t="shared" si="81"/>
        <v>34591</v>
      </c>
      <c r="J2504" s="1" t="str">
        <f>"00741643"</f>
        <v>00741643</v>
      </c>
      <c r="K2504" s="1" t="str">
        <f>"１３８５　　　　　　　　　　　　　　　　"</f>
        <v>１３８５　　　　　　　　　　　　　　　　</v>
      </c>
      <c r="L2504" s="1"/>
    </row>
    <row r="2505" spans="1:12" ht="18" customHeight="1" x14ac:dyDescent="0.15">
      <c r="A2505" s="11">
        <v>2625</v>
      </c>
      <c r="B2505" s="11" t="s">
        <v>53</v>
      </c>
      <c r="C2505" s="11" t="s">
        <v>161</v>
      </c>
      <c r="D2505" s="11">
        <v>1</v>
      </c>
      <c r="E2505" s="11" t="s">
        <v>4</v>
      </c>
      <c r="F2505" s="12">
        <v>52650</v>
      </c>
      <c r="G2505" s="12">
        <v>52650</v>
      </c>
      <c r="H2505" s="11" t="str">
        <f t="shared" si="80"/>
        <v>平成6年9月14日</v>
      </c>
      <c r="I2505" s="22">
        <f t="shared" si="81"/>
        <v>34591</v>
      </c>
      <c r="J2505" s="1" t="str">
        <f>"00741645"</f>
        <v>00741645</v>
      </c>
      <c r="K2505" s="1" t="str">
        <f>"１３８６　　　　　　　　　　　　　　　　"</f>
        <v>１３８６　　　　　　　　　　　　　　　　</v>
      </c>
      <c r="L2505" s="1"/>
    </row>
    <row r="2506" spans="1:12" ht="18" customHeight="1" x14ac:dyDescent="0.15">
      <c r="A2506" s="11">
        <v>2626</v>
      </c>
      <c r="B2506" s="11" t="s">
        <v>53</v>
      </c>
      <c r="C2506" s="11" t="s">
        <v>161</v>
      </c>
      <c r="D2506" s="11">
        <v>1</v>
      </c>
      <c r="E2506" s="11" t="s">
        <v>4</v>
      </c>
      <c r="F2506" s="12">
        <v>52650</v>
      </c>
      <c r="G2506" s="12">
        <v>52650</v>
      </c>
      <c r="H2506" s="11" t="str">
        <f t="shared" si="80"/>
        <v>平成6年9月14日</v>
      </c>
      <c r="I2506" s="22">
        <f t="shared" si="81"/>
        <v>34591</v>
      </c>
      <c r="J2506" s="1" t="str">
        <f>"00741647"</f>
        <v>00741647</v>
      </c>
      <c r="K2506" s="1" t="str">
        <f>"１３８７　　　　　　　　　　　　　　　　"</f>
        <v>１３８７　　　　　　　　　　　　　　　　</v>
      </c>
      <c r="L2506" s="1"/>
    </row>
    <row r="2507" spans="1:12" ht="18" customHeight="1" x14ac:dyDescent="0.15">
      <c r="A2507" s="11">
        <v>2627</v>
      </c>
      <c r="B2507" s="11" t="s">
        <v>53</v>
      </c>
      <c r="C2507" s="11" t="s">
        <v>161</v>
      </c>
      <c r="D2507" s="11">
        <v>1</v>
      </c>
      <c r="E2507" s="11" t="s">
        <v>4</v>
      </c>
      <c r="F2507" s="12">
        <v>52650</v>
      </c>
      <c r="G2507" s="12">
        <v>52650</v>
      </c>
      <c r="H2507" s="11" t="str">
        <f t="shared" si="80"/>
        <v>平成6年9月14日</v>
      </c>
      <c r="I2507" s="22">
        <f t="shared" si="81"/>
        <v>34591</v>
      </c>
      <c r="J2507" s="1" t="str">
        <f>"00741649"</f>
        <v>00741649</v>
      </c>
      <c r="K2507" s="1" t="str">
        <f>"１３８８　　　　　　　　　　　　　　　　"</f>
        <v>１３８８　　　　　　　　　　　　　　　　</v>
      </c>
      <c r="L2507" s="1"/>
    </row>
    <row r="2508" spans="1:12" ht="18" customHeight="1" x14ac:dyDescent="0.15">
      <c r="A2508" s="11">
        <v>2628</v>
      </c>
      <c r="B2508" s="11" t="s">
        <v>53</v>
      </c>
      <c r="C2508" s="11" t="s">
        <v>161</v>
      </c>
      <c r="D2508" s="11">
        <v>1</v>
      </c>
      <c r="E2508" s="11" t="s">
        <v>4</v>
      </c>
      <c r="F2508" s="12">
        <v>52650</v>
      </c>
      <c r="G2508" s="12">
        <v>52650</v>
      </c>
      <c r="H2508" s="11" t="str">
        <f t="shared" si="80"/>
        <v>平成6年9月14日</v>
      </c>
      <c r="I2508" s="22">
        <f t="shared" si="81"/>
        <v>34591</v>
      </c>
      <c r="J2508" s="1" t="str">
        <f>"00741651"</f>
        <v>00741651</v>
      </c>
      <c r="K2508" s="1" t="str">
        <f>"１３８９　　　　　　　　　　　　　　　　"</f>
        <v>１３８９　　　　　　　　　　　　　　　　</v>
      </c>
      <c r="L2508" s="1"/>
    </row>
    <row r="2509" spans="1:12" ht="18" customHeight="1" x14ac:dyDescent="0.15">
      <c r="A2509" s="11">
        <v>2629</v>
      </c>
      <c r="B2509" s="11" t="s">
        <v>53</v>
      </c>
      <c r="C2509" s="11" t="s">
        <v>162</v>
      </c>
      <c r="D2509" s="11">
        <v>1</v>
      </c>
      <c r="E2509" s="11" t="s">
        <v>4</v>
      </c>
      <c r="F2509" s="12">
        <v>38500</v>
      </c>
      <c r="G2509" s="12">
        <v>38500</v>
      </c>
      <c r="H2509" s="11" t="str">
        <f t="shared" si="80"/>
        <v>平成6年9月14日</v>
      </c>
      <c r="I2509" s="22">
        <f t="shared" si="81"/>
        <v>34591</v>
      </c>
      <c r="J2509" s="1" t="str">
        <f>"00741655"</f>
        <v>00741655</v>
      </c>
      <c r="K2509" s="1" t="str">
        <f>"１３９２　　　　　　　　　　　　　　　　"</f>
        <v>１３９２　　　　　　　　　　　　　　　　</v>
      </c>
      <c r="L2509" s="1"/>
    </row>
    <row r="2510" spans="1:12" ht="18" customHeight="1" x14ac:dyDescent="0.15">
      <c r="A2510" s="11">
        <v>2630</v>
      </c>
      <c r="B2510" s="11" t="s">
        <v>53</v>
      </c>
      <c r="C2510" s="11" t="s">
        <v>162</v>
      </c>
      <c r="D2510" s="11">
        <v>1</v>
      </c>
      <c r="E2510" s="11" t="s">
        <v>4</v>
      </c>
      <c r="F2510" s="12">
        <v>38500</v>
      </c>
      <c r="G2510" s="12">
        <v>38500</v>
      </c>
      <c r="H2510" s="11" t="str">
        <f t="shared" si="80"/>
        <v>平成6年9月14日</v>
      </c>
      <c r="I2510" s="22">
        <f t="shared" si="81"/>
        <v>34591</v>
      </c>
      <c r="J2510" s="1" t="str">
        <f>"00741657"</f>
        <v>00741657</v>
      </c>
      <c r="K2510" s="1" t="str">
        <f>"１３９３　　　　　　　　　　　　　　　　"</f>
        <v>１３９３　　　　　　　　　　　　　　　　</v>
      </c>
      <c r="L2510" s="1"/>
    </row>
    <row r="2511" spans="1:12" ht="18" customHeight="1" x14ac:dyDescent="0.15">
      <c r="A2511" s="11">
        <v>2631</v>
      </c>
      <c r="B2511" s="11" t="s">
        <v>53</v>
      </c>
      <c r="C2511" s="11" t="s">
        <v>162</v>
      </c>
      <c r="D2511" s="11">
        <v>1</v>
      </c>
      <c r="E2511" s="11" t="s">
        <v>4</v>
      </c>
      <c r="F2511" s="12">
        <v>38500</v>
      </c>
      <c r="G2511" s="12">
        <v>38500</v>
      </c>
      <c r="H2511" s="11" t="str">
        <f t="shared" ref="H2511:H2574" si="82">"平成6年9月14日"</f>
        <v>平成6年9月14日</v>
      </c>
      <c r="I2511" s="22">
        <f t="shared" si="81"/>
        <v>34591</v>
      </c>
      <c r="J2511" s="1" t="str">
        <f>"00741659"</f>
        <v>00741659</v>
      </c>
      <c r="K2511" s="1" t="str">
        <f>"１３９４　　　　　　　　　　　　　　　　"</f>
        <v>１３９４　　　　　　　　　　　　　　　　</v>
      </c>
      <c r="L2511" s="1"/>
    </row>
    <row r="2512" spans="1:12" ht="18" customHeight="1" x14ac:dyDescent="0.15">
      <c r="A2512" s="11">
        <v>2632</v>
      </c>
      <c r="B2512" s="11" t="s">
        <v>53</v>
      </c>
      <c r="C2512" s="11" t="s">
        <v>162</v>
      </c>
      <c r="D2512" s="11">
        <v>1</v>
      </c>
      <c r="E2512" s="11" t="s">
        <v>4</v>
      </c>
      <c r="F2512" s="12">
        <v>38500</v>
      </c>
      <c r="G2512" s="12">
        <v>38500</v>
      </c>
      <c r="H2512" s="11" t="str">
        <f t="shared" si="82"/>
        <v>平成6年9月14日</v>
      </c>
      <c r="I2512" s="22">
        <f t="shared" si="81"/>
        <v>34591</v>
      </c>
      <c r="J2512" s="1" t="str">
        <f>"00741661"</f>
        <v>00741661</v>
      </c>
      <c r="K2512" s="1" t="str">
        <f>"１３９５　　　　　　　　　　　　　　　　"</f>
        <v>１３９５　　　　　　　　　　　　　　　　</v>
      </c>
      <c r="L2512" s="1"/>
    </row>
    <row r="2513" spans="1:12" ht="18" customHeight="1" x14ac:dyDescent="0.15">
      <c r="A2513" s="11">
        <v>2633</v>
      </c>
      <c r="B2513" s="11" t="s">
        <v>53</v>
      </c>
      <c r="C2513" s="11" t="s">
        <v>163</v>
      </c>
      <c r="D2513" s="11">
        <v>1</v>
      </c>
      <c r="E2513" s="11" t="s">
        <v>4</v>
      </c>
      <c r="F2513" s="12">
        <v>20000</v>
      </c>
      <c r="G2513" s="12">
        <v>20000</v>
      </c>
      <c r="H2513" s="11" t="str">
        <f t="shared" si="82"/>
        <v>平成6年9月14日</v>
      </c>
      <c r="I2513" s="22">
        <f t="shared" si="81"/>
        <v>34591</v>
      </c>
      <c r="J2513" s="1" t="str">
        <f>"00741663"</f>
        <v>00741663</v>
      </c>
      <c r="K2513" s="1" t="str">
        <f>"１３９６　　　　　　　　　　　　　　　　"</f>
        <v>１３９６　　　　　　　　　　　　　　　　</v>
      </c>
      <c r="L2513" s="1"/>
    </row>
    <row r="2514" spans="1:12" ht="18" customHeight="1" x14ac:dyDescent="0.15">
      <c r="A2514" s="11">
        <v>2634</v>
      </c>
      <c r="B2514" s="11" t="s">
        <v>53</v>
      </c>
      <c r="C2514" s="11" t="s">
        <v>163</v>
      </c>
      <c r="D2514" s="11">
        <v>1</v>
      </c>
      <c r="E2514" s="11" t="s">
        <v>4</v>
      </c>
      <c r="F2514" s="12">
        <v>20000</v>
      </c>
      <c r="G2514" s="12">
        <v>20000</v>
      </c>
      <c r="H2514" s="11" t="str">
        <f t="shared" si="82"/>
        <v>平成6年9月14日</v>
      </c>
      <c r="I2514" s="22">
        <f t="shared" ref="I2514:I2577" si="83">DATEVALUE(H2514)</f>
        <v>34591</v>
      </c>
      <c r="J2514" s="1" t="str">
        <f>"00741665"</f>
        <v>00741665</v>
      </c>
      <c r="K2514" s="1" t="str">
        <f>"１３９７　　　　　　　　　　　　　　　　"</f>
        <v>１３９７　　　　　　　　　　　　　　　　</v>
      </c>
      <c r="L2514" s="1"/>
    </row>
    <row r="2515" spans="1:12" ht="18" customHeight="1" x14ac:dyDescent="0.15">
      <c r="A2515" s="11">
        <v>2635</v>
      </c>
      <c r="B2515" s="11" t="s">
        <v>53</v>
      </c>
      <c r="C2515" s="11" t="s">
        <v>163</v>
      </c>
      <c r="D2515" s="11">
        <v>1</v>
      </c>
      <c r="E2515" s="11" t="s">
        <v>4</v>
      </c>
      <c r="F2515" s="12">
        <v>20000</v>
      </c>
      <c r="G2515" s="12">
        <v>20000</v>
      </c>
      <c r="H2515" s="11" t="str">
        <f t="shared" si="82"/>
        <v>平成6年9月14日</v>
      </c>
      <c r="I2515" s="22">
        <f t="shared" si="83"/>
        <v>34591</v>
      </c>
      <c r="J2515" s="1" t="str">
        <f>"00741667"</f>
        <v>00741667</v>
      </c>
      <c r="K2515" s="1" t="str">
        <f>"１３９８　　　　　　　　　　　　　　　　"</f>
        <v>１３９８　　　　　　　　　　　　　　　　</v>
      </c>
      <c r="L2515" s="1"/>
    </row>
    <row r="2516" spans="1:12" ht="18" customHeight="1" x14ac:dyDescent="0.15">
      <c r="A2516" s="11">
        <v>2636</v>
      </c>
      <c r="B2516" s="11" t="s">
        <v>53</v>
      </c>
      <c r="C2516" s="11" t="s">
        <v>163</v>
      </c>
      <c r="D2516" s="11">
        <v>1</v>
      </c>
      <c r="E2516" s="11" t="s">
        <v>4</v>
      </c>
      <c r="F2516" s="12">
        <v>20000</v>
      </c>
      <c r="G2516" s="12">
        <v>20000</v>
      </c>
      <c r="H2516" s="11" t="str">
        <f t="shared" si="82"/>
        <v>平成6年9月14日</v>
      </c>
      <c r="I2516" s="22">
        <f t="shared" si="83"/>
        <v>34591</v>
      </c>
      <c r="J2516" s="1" t="str">
        <f>"00741669"</f>
        <v>00741669</v>
      </c>
      <c r="K2516" s="1" t="str">
        <f>"１３９９　　　　　　　　　　　　　　　　"</f>
        <v>１３９９　　　　　　　　　　　　　　　　</v>
      </c>
      <c r="L2516" s="1"/>
    </row>
    <row r="2517" spans="1:12" ht="18" customHeight="1" x14ac:dyDescent="0.15">
      <c r="A2517" s="11">
        <v>2637</v>
      </c>
      <c r="B2517" s="11" t="s">
        <v>53</v>
      </c>
      <c r="C2517" s="11" t="s">
        <v>163</v>
      </c>
      <c r="D2517" s="11">
        <v>1</v>
      </c>
      <c r="E2517" s="11" t="s">
        <v>4</v>
      </c>
      <c r="F2517" s="12">
        <v>20000</v>
      </c>
      <c r="G2517" s="12">
        <v>20000</v>
      </c>
      <c r="H2517" s="11" t="str">
        <f t="shared" si="82"/>
        <v>平成6年9月14日</v>
      </c>
      <c r="I2517" s="22">
        <f t="shared" si="83"/>
        <v>34591</v>
      </c>
      <c r="J2517" s="1" t="str">
        <f>"00741671"</f>
        <v>00741671</v>
      </c>
      <c r="K2517" s="1" t="str">
        <f>"１４００　　　　　　　　　　　　　　　　"</f>
        <v>１４００　　　　　　　　　　　　　　　　</v>
      </c>
      <c r="L2517" s="1"/>
    </row>
    <row r="2518" spans="1:12" ht="18" customHeight="1" x14ac:dyDescent="0.15">
      <c r="A2518" s="11">
        <v>2638</v>
      </c>
      <c r="B2518" s="11" t="s">
        <v>53</v>
      </c>
      <c r="C2518" s="11" t="s">
        <v>163</v>
      </c>
      <c r="D2518" s="11">
        <v>1</v>
      </c>
      <c r="E2518" s="11" t="s">
        <v>4</v>
      </c>
      <c r="F2518" s="12">
        <v>20000</v>
      </c>
      <c r="G2518" s="12">
        <v>20000</v>
      </c>
      <c r="H2518" s="11" t="str">
        <f t="shared" si="82"/>
        <v>平成6年9月14日</v>
      </c>
      <c r="I2518" s="22">
        <f t="shared" si="83"/>
        <v>34591</v>
      </c>
      <c r="J2518" s="1" t="str">
        <f>"00741673"</f>
        <v>00741673</v>
      </c>
      <c r="K2518" s="1" t="str">
        <f>"１４０１　　　　　　　　　　　　　　　　"</f>
        <v>１４０１　　　　　　　　　　　　　　　　</v>
      </c>
      <c r="L2518" s="1"/>
    </row>
    <row r="2519" spans="1:12" ht="18" customHeight="1" x14ac:dyDescent="0.15">
      <c r="A2519" s="11">
        <v>2639</v>
      </c>
      <c r="B2519" s="11" t="s">
        <v>53</v>
      </c>
      <c r="C2519" s="11" t="s">
        <v>163</v>
      </c>
      <c r="D2519" s="11">
        <v>1</v>
      </c>
      <c r="E2519" s="11" t="s">
        <v>4</v>
      </c>
      <c r="F2519" s="12">
        <v>20000</v>
      </c>
      <c r="G2519" s="12">
        <v>20000</v>
      </c>
      <c r="H2519" s="11" t="str">
        <f t="shared" si="82"/>
        <v>平成6年9月14日</v>
      </c>
      <c r="I2519" s="22">
        <f t="shared" si="83"/>
        <v>34591</v>
      </c>
      <c r="J2519" s="1" t="str">
        <f>"00741675"</f>
        <v>00741675</v>
      </c>
      <c r="K2519" s="1" t="str">
        <f>"１４０２　　　　　　　　　　　　　　　　"</f>
        <v>１４０２　　　　　　　　　　　　　　　　</v>
      </c>
      <c r="L2519" s="1"/>
    </row>
    <row r="2520" spans="1:12" ht="18" customHeight="1" x14ac:dyDescent="0.15">
      <c r="A2520" s="11">
        <v>2640</v>
      </c>
      <c r="B2520" s="11" t="s">
        <v>53</v>
      </c>
      <c r="C2520" s="11" t="s">
        <v>163</v>
      </c>
      <c r="D2520" s="11">
        <v>1</v>
      </c>
      <c r="E2520" s="11" t="s">
        <v>4</v>
      </c>
      <c r="F2520" s="12">
        <v>20000</v>
      </c>
      <c r="G2520" s="12">
        <v>20000</v>
      </c>
      <c r="H2520" s="11" t="str">
        <f t="shared" si="82"/>
        <v>平成6年9月14日</v>
      </c>
      <c r="I2520" s="22">
        <f t="shared" si="83"/>
        <v>34591</v>
      </c>
      <c r="J2520" s="1" t="str">
        <f>"00741677"</f>
        <v>00741677</v>
      </c>
      <c r="K2520" s="1" t="str">
        <f>"１４０３　　　　　　　　　　　　　　　　"</f>
        <v>１４０３　　　　　　　　　　　　　　　　</v>
      </c>
      <c r="L2520" s="1"/>
    </row>
    <row r="2521" spans="1:12" ht="18" customHeight="1" x14ac:dyDescent="0.15">
      <c r="A2521" s="11">
        <v>2641</v>
      </c>
      <c r="B2521" s="11" t="s">
        <v>53</v>
      </c>
      <c r="C2521" s="11" t="s">
        <v>163</v>
      </c>
      <c r="D2521" s="11">
        <v>1</v>
      </c>
      <c r="E2521" s="11" t="s">
        <v>4</v>
      </c>
      <c r="F2521" s="12">
        <v>20000</v>
      </c>
      <c r="G2521" s="12">
        <v>20000</v>
      </c>
      <c r="H2521" s="11" t="str">
        <f t="shared" si="82"/>
        <v>平成6年9月14日</v>
      </c>
      <c r="I2521" s="22">
        <f t="shared" si="83"/>
        <v>34591</v>
      </c>
      <c r="J2521" s="1" t="str">
        <f>"00741679"</f>
        <v>00741679</v>
      </c>
      <c r="K2521" s="1" t="str">
        <f>"１４０４　　　　　　　　　　　　　　　　"</f>
        <v>１４０４　　　　　　　　　　　　　　　　</v>
      </c>
      <c r="L2521" s="1"/>
    </row>
    <row r="2522" spans="1:12" ht="18" customHeight="1" x14ac:dyDescent="0.15">
      <c r="A2522" s="11">
        <v>2642</v>
      </c>
      <c r="B2522" s="11" t="s">
        <v>53</v>
      </c>
      <c r="C2522" s="11" t="s">
        <v>163</v>
      </c>
      <c r="D2522" s="11">
        <v>1</v>
      </c>
      <c r="E2522" s="11" t="s">
        <v>4</v>
      </c>
      <c r="F2522" s="12">
        <v>20000</v>
      </c>
      <c r="G2522" s="12">
        <v>20000</v>
      </c>
      <c r="H2522" s="11" t="str">
        <f t="shared" si="82"/>
        <v>平成6年9月14日</v>
      </c>
      <c r="I2522" s="22">
        <f t="shared" si="83"/>
        <v>34591</v>
      </c>
      <c r="J2522" s="1" t="str">
        <f>"00741681"</f>
        <v>00741681</v>
      </c>
      <c r="K2522" s="1" t="str">
        <f>"１４０５　　　　　　　　　　　　　　　　"</f>
        <v>１４０５　　　　　　　　　　　　　　　　</v>
      </c>
      <c r="L2522" s="1"/>
    </row>
    <row r="2523" spans="1:12" ht="18" customHeight="1" x14ac:dyDescent="0.15">
      <c r="A2523" s="11">
        <v>2643</v>
      </c>
      <c r="B2523" s="11" t="s">
        <v>53</v>
      </c>
      <c r="C2523" s="11" t="s">
        <v>164</v>
      </c>
      <c r="D2523" s="11">
        <v>1</v>
      </c>
      <c r="E2523" s="11" t="s">
        <v>4</v>
      </c>
      <c r="F2523" s="12">
        <v>29901</v>
      </c>
      <c r="G2523" s="12">
        <v>29901</v>
      </c>
      <c r="H2523" s="11" t="str">
        <f t="shared" si="82"/>
        <v>平成6年9月14日</v>
      </c>
      <c r="I2523" s="22">
        <f t="shared" si="83"/>
        <v>34591</v>
      </c>
      <c r="J2523" s="1" t="str">
        <f>"00741683"</f>
        <v>00741683</v>
      </c>
      <c r="K2523" s="1" t="str">
        <f>"１４０６　　　　　　　　　　　　　　　　"</f>
        <v>１４０６　　　　　　　　　　　　　　　　</v>
      </c>
      <c r="L2523" s="1"/>
    </row>
    <row r="2524" spans="1:12" ht="18" customHeight="1" x14ac:dyDescent="0.15">
      <c r="A2524" s="11">
        <v>2644</v>
      </c>
      <c r="B2524" s="11" t="s">
        <v>53</v>
      </c>
      <c r="C2524" s="11" t="s">
        <v>164</v>
      </c>
      <c r="D2524" s="11">
        <v>1</v>
      </c>
      <c r="E2524" s="11" t="s">
        <v>4</v>
      </c>
      <c r="F2524" s="12">
        <v>29901</v>
      </c>
      <c r="G2524" s="12">
        <v>29901</v>
      </c>
      <c r="H2524" s="11" t="str">
        <f t="shared" si="82"/>
        <v>平成6年9月14日</v>
      </c>
      <c r="I2524" s="22">
        <f t="shared" si="83"/>
        <v>34591</v>
      </c>
      <c r="J2524" s="1" t="str">
        <f>"00741685"</f>
        <v>00741685</v>
      </c>
      <c r="K2524" s="1" t="str">
        <f>"１４０７　　　　　　　　　　　　　　　　"</f>
        <v>１４０７　　　　　　　　　　　　　　　　</v>
      </c>
      <c r="L2524" s="1"/>
    </row>
    <row r="2525" spans="1:12" ht="18" customHeight="1" x14ac:dyDescent="0.15">
      <c r="A2525" s="11">
        <v>2645</v>
      </c>
      <c r="B2525" s="11" t="s">
        <v>53</v>
      </c>
      <c r="C2525" s="11" t="s">
        <v>164</v>
      </c>
      <c r="D2525" s="11">
        <v>1</v>
      </c>
      <c r="E2525" s="11" t="s">
        <v>4</v>
      </c>
      <c r="F2525" s="12">
        <v>29901</v>
      </c>
      <c r="G2525" s="12">
        <v>29901</v>
      </c>
      <c r="H2525" s="11" t="str">
        <f t="shared" si="82"/>
        <v>平成6年9月14日</v>
      </c>
      <c r="I2525" s="22">
        <f t="shared" si="83"/>
        <v>34591</v>
      </c>
      <c r="J2525" s="1" t="str">
        <f>"00741687"</f>
        <v>00741687</v>
      </c>
      <c r="K2525" s="1" t="str">
        <f>"１４０８　　　　　　　　　　　　　　　　"</f>
        <v>１４０８　　　　　　　　　　　　　　　　</v>
      </c>
      <c r="L2525" s="1"/>
    </row>
    <row r="2526" spans="1:12" ht="18" customHeight="1" x14ac:dyDescent="0.15">
      <c r="A2526" s="11">
        <v>2646</v>
      </c>
      <c r="B2526" s="11" t="s">
        <v>53</v>
      </c>
      <c r="C2526" s="11" t="s">
        <v>164</v>
      </c>
      <c r="D2526" s="11">
        <v>1</v>
      </c>
      <c r="E2526" s="11" t="s">
        <v>4</v>
      </c>
      <c r="F2526" s="12">
        <v>29901</v>
      </c>
      <c r="G2526" s="12">
        <v>29901</v>
      </c>
      <c r="H2526" s="11" t="str">
        <f t="shared" si="82"/>
        <v>平成6年9月14日</v>
      </c>
      <c r="I2526" s="22">
        <f t="shared" si="83"/>
        <v>34591</v>
      </c>
      <c r="J2526" s="1" t="str">
        <f>"00741689"</f>
        <v>00741689</v>
      </c>
      <c r="K2526" s="1" t="str">
        <f>"１４０９　　　　　　　　　　　　　　　　"</f>
        <v>１４０９　　　　　　　　　　　　　　　　</v>
      </c>
      <c r="L2526" s="1"/>
    </row>
    <row r="2527" spans="1:12" ht="18" customHeight="1" x14ac:dyDescent="0.15">
      <c r="A2527" s="11">
        <v>2647</v>
      </c>
      <c r="B2527" s="11" t="s">
        <v>53</v>
      </c>
      <c r="C2527" s="11" t="s">
        <v>164</v>
      </c>
      <c r="D2527" s="11">
        <v>1</v>
      </c>
      <c r="E2527" s="11" t="s">
        <v>4</v>
      </c>
      <c r="F2527" s="12">
        <v>29901</v>
      </c>
      <c r="G2527" s="12">
        <v>29901</v>
      </c>
      <c r="H2527" s="11" t="str">
        <f t="shared" si="82"/>
        <v>平成6年9月14日</v>
      </c>
      <c r="I2527" s="22">
        <f t="shared" si="83"/>
        <v>34591</v>
      </c>
      <c r="J2527" s="1" t="str">
        <f>"00741691"</f>
        <v>00741691</v>
      </c>
      <c r="K2527" s="1" t="str">
        <f>"１４１０　　　　　　　　　　　　　　　　"</f>
        <v>１４１０　　　　　　　　　　　　　　　　</v>
      </c>
      <c r="L2527" s="1"/>
    </row>
    <row r="2528" spans="1:12" ht="18" customHeight="1" x14ac:dyDescent="0.15">
      <c r="A2528" s="11">
        <v>2648</v>
      </c>
      <c r="B2528" s="11" t="s">
        <v>53</v>
      </c>
      <c r="C2528" s="11" t="s">
        <v>164</v>
      </c>
      <c r="D2528" s="11">
        <v>1</v>
      </c>
      <c r="E2528" s="11" t="s">
        <v>4</v>
      </c>
      <c r="F2528" s="12">
        <v>29901</v>
      </c>
      <c r="G2528" s="12">
        <v>29901</v>
      </c>
      <c r="H2528" s="11" t="str">
        <f t="shared" si="82"/>
        <v>平成6年9月14日</v>
      </c>
      <c r="I2528" s="22">
        <f t="shared" si="83"/>
        <v>34591</v>
      </c>
      <c r="J2528" s="1" t="str">
        <f>"00741693"</f>
        <v>00741693</v>
      </c>
      <c r="K2528" s="1" t="str">
        <f>"１４１１　　　　　　　　　　　　　　　　"</f>
        <v>１４１１　　　　　　　　　　　　　　　　</v>
      </c>
      <c r="L2528" s="1"/>
    </row>
    <row r="2529" spans="1:12" ht="18" customHeight="1" x14ac:dyDescent="0.15">
      <c r="A2529" s="11">
        <v>2649</v>
      </c>
      <c r="B2529" s="11" t="s">
        <v>53</v>
      </c>
      <c r="C2529" s="11" t="s">
        <v>164</v>
      </c>
      <c r="D2529" s="11">
        <v>1</v>
      </c>
      <c r="E2529" s="11" t="s">
        <v>4</v>
      </c>
      <c r="F2529" s="12">
        <v>29901</v>
      </c>
      <c r="G2529" s="12">
        <v>29901</v>
      </c>
      <c r="H2529" s="11" t="str">
        <f t="shared" si="82"/>
        <v>平成6年9月14日</v>
      </c>
      <c r="I2529" s="22">
        <f t="shared" si="83"/>
        <v>34591</v>
      </c>
      <c r="J2529" s="1" t="str">
        <f>"00741695"</f>
        <v>00741695</v>
      </c>
      <c r="K2529" s="1" t="str">
        <f>"１４１２　　　　　　　　　　　　　　　　"</f>
        <v>１４１２　　　　　　　　　　　　　　　　</v>
      </c>
      <c r="L2529" s="1"/>
    </row>
    <row r="2530" spans="1:12" ht="18" customHeight="1" x14ac:dyDescent="0.15">
      <c r="A2530" s="11">
        <v>2650</v>
      </c>
      <c r="B2530" s="11" t="s">
        <v>53</v>
      </c>
      <c r="C2530" s="11" t="s">
        <v>164</v>
      </c>
      <c r="D2530" s="11">
        <v>1</v>
      </c>
      <c r="E2530" s="11" t="s">
        <v>4</v>
      </c>
      <c r="F2530" s="12">
        <v>29901</v>
      </c>
      <c r="G2530" s="12">
        <v>29901</v>
      </c>
      <c r="H2530" s="11" t="str">
        <f t="shared" si="82"/>
        <v>平成6年9月14日</v>
      </c>
      <c r="I2530" s="22">
        <f t="shared" si="83"/>
        <v>34591</v>
      </c>
      <c r="J2530" s="1" t="str">
        <f>"00741697"</f>
        <v>00741697</v>
      </c>
      <c r="K2530" s="1" t="str">
        <f>"１４１３　　　　　　　　　　　　　　　　"</f>
        <v>１４１３　　　　　　　　　　　　　　　　</v>
      </c>
      <c r="L2530" s="1"/>
    </row>
    <row r="2531" spans="1:12" ht="18" customHeight="1" x14ac:dyDescent="0.15">
      <c r="A2531" s="11">
        <v>2651</v>
      </c>
      <c r="B2531" s="11" t="s">
        <v>53</v>
      </c>
      <c r="C2531" s="11" t="s">
        <v>164</v>
      </c>
      <c r="D2531" s="11">
        <v>1</v>
      </c>
      <c r="E2531" s="11" t="s">
        <v>4</v>
      </c>
      <c r="F2531" s="12">
        <v>29901</v>
      </c>
      <c r="G2531" s="12">
        <v>29901</v>
      </c>
      <c r="H2531" s="11" t="str">
        <f t="shared" si="82"/>
        <v>平成6年9月14日</v>
      </c>
      <c r="I2531" s="22">
        <f t="shared" si="83"/>
        <v>34591</v>
      </c>
      <c r="J2531" s="1" t="str">
        <f>"00741699"</f>
        <v>00741699</v>
      </c>
      <c r="K2531" s="1" t="str">
        <f>"１４１４　　　　　　　　　　　　　　　　"</f>
        <v>１４１４　　　　　　　　　　　　　　　　</v>
      </c>
      <c r="L2531" s="1"/>
    </row>
    <row r="2532" spans="1:12" ht="18" customHeight="1" x14ac:dyDescent="0.15">
      <c r="A2532" s="11">
        <v>2652</v>
      </c>
      <c r="B2532" s="11" t="s">
        <v>53</v>
      </c>
      <c r="C2532" s="11" t="s">
        <v>164</v>
      </c>
      <c r="D2532" s="11">
        <v>1</v>
      </c>
      <c r="E2532" s="11" t="s">
        <v>4</v>
      </c>
      <c r="F2532" s="12">
        <v>29901</v>
      </c>
      <c r="G2532" s="12">
        <v>29901</v>
      </c>
      <c r="H2532" s="11" t="str">
        <f t="shared" si="82"/>
        <v>平成6年9月14日</v>
      </c>
      <c r="I2532" s="22">
        <f t="shared" si="83"/>
        <v>34591</v>
      </c>
      <c r="J2532" s="1" t="str">
        <f>"00741701"</f>
        <v>00741701</v>
      </c>
      <c r="K2532" s="1" t="str">
        <f>"１４１５　　　　　　　　　　　　　　　　"</f>
        <v>１４１５　　　　　　　　　　　　　　　　</v>
      </c>
      <c r="L2532" s="1"/>
    </row>
    <row r="2533" spans="1:12" ht="18" customHeight="1" x14ac:dyDescent="0.15">
      <c r="A2533" s="11">
        <v>2653</v>
      </c>
      <c r="B2533" s="11" t="s">
        <v>53</v>
      </c>
      <c r="C2533" s="11" t="s">
        <v>164</v>
      </c>
      <c r="D2533" s="11">
        <v>1</v>
      </c>
      <c r="E2533" s="11" t="s">
        <v>4</v>
      </c>
      <c r="F2533" s="12">
        <v>29901</v>
      </c>
      <c r="G2533" s="12">
        <v>29901</v>
      </c>
      <c r="H2533" s="11" t="str">
        <f t="shared" si="82"/>
        <v>平成6年9月14日</v>
      </c>
      <c r="I2533" s="22">
        <f t="shared" si="83"/>
        <v>34591</v>
      </c>
      <c r="J2533" s="1" t="str">
        <f>"00741703"</f>
        <v>00741703</v>
      </c>
      <c r="K2533" s="1" t="str">
        <f>"１４１６　　　　　　　　　　　　　　　　"</f>
        <v>１４１６　　　　　　　　　　　　　　　　</v>
      </c>
      <c r="L2533" s="1"/>
    </row>
    <row r="2534" spans="1:12" ht="18" customHeight="1" x14ac:dyDescent="0.15">
      <c r="A2534" s="11">
        <v>2654</v>
      </c>
      <c r="B2534" s="11" t="s">
        <v>53</v>
      </c>
      <c r="C2534" s="11" t="s">
        <v>164</v>
      </c>
      <c r="D2534" s="11">
        <v>1</v>
      </c>
      <c r="E2534" s="11" t="s">
        <v>4</v>
      </c>
      <c r="F2534" s="12">
        <v>29901</v>
      </c>
      <c r="G2534" s="12">
        <v>29901</v>
      </c>
      <c r="H2534" s="11" t="str">
        <f t="shared" si="82"/>
        <v>平成6年9月14日</v>
      </c>
      <c r="I2534" s="22">
        <f t="shared" si="83"/>
        <v>34591</v>
      </c>
      <c r="J2534" s="1" t="str">
        <f>"00741705"</f>
        <v>00741705</v>
      </c>
      <c r="K2534" s="1" t="str">
        <f>"１４１７　　　　　　　　　　　　　　　　"</f>
        <v>１４１７　　　　　　　　　　　　　　　　</v>
      </c>
      <c r="L2534" s="1"/>
    </row>
    <row r="2535" spans="1:12" ht="18" customHeight="1" x14ac:dyDescent="0.15">
      <c r="A2535" s="11">
        <v>2655</v>
      </c>
      <c r="B2535" s="11" t="s">
        <v>53</v>
      </c>
      <c r="C2535" s="11" t="s">
        <v>164</v>
      </c>
      <c r="D2535" s="11">
        <v>1</v>
      </c>
      <c r="E2535" s="11" t="s">
        <v>4</v>
      </c>
      <c r="F2535" s="12">
        <v>29901</v>
      </c>
      <c r="G2535" s="12">
        <v>29901</v>
      </c>
      <c r="H2535" s="11" t="str">
        <f t="shared" si="82"/>
        <v>平成6年9月14日</v>
      </c>
      <c r="I2535" s="22">
        <f t="shared" si="83"/>
        <v>34591</v>
      </c>
      <c r="J2535" s="1" t="str">
        <f>"00741707"</f>
        <v>00741707</v>
      </c>
      <c r="K2535" s="1" t="str">
        <f>"１４１８　　　　　　　　　　　　　　　　"</f>
        <v>１４１８　　　　　　　　　　　　　　　　</v>
      </c>
      <c r="L2535" s="1"/>
    </row>
    <row r="2536" spans="1:12" ht="18" customHeight="1" x14ac:dyDescent="0.15">
      <c r="A2536" s="11">
        <v>2656</v>
      </c>
      <c r="B2536" s="11" t="s">
        <v>53</v>
      </c>
      <c r="C2536" s="11" t="s">
        <v>164</v>
      </c>
      <c r="D2536" s="11">
        <v>1</v>
      </c>
      <c r="E2536" s="11" t="s">
        <v>4</v>
      </c>
      <c r="F2536" s="12">
        <v>29901</v>
      </c>
      <c r="G2536" s="12">
        <v>29901</v>
      </c>
      <c r="H2536" s="11" t="str">
        <f t="shared" si="82"/>
        <v>平成6年9月14日</v>
      </c>
      <c r="I2536" s="22">
        <f t="shared" si="83"/>
        <v>34591</v>
      </c>
      <c r="J2536" s="1" t="str">
        <f>"00741709"</f>
        <v>00741709</v>
      </c>
      <c r="K2536" s="1" t="str">
        <f>"１４１９　　　　　　　　　　　　　　　　"</f>
        <v>１４１９　　　　　　　　　　　　　　　　</v>
      </c>
      <c r="L2536" s="1"/>
    </row>
    <row r="2537" spans="1:12" ht="18" customHeight="1" x14ac:dyDescent="0.15">
      <c r="A2537" s="11">
        <v>2657</v>
      </c>
      <c r="B2537" s="11" t="s">
        <v>53</v>
      </c>
      <c r="C2537" s="11" t="s">
        <v>164</v>
      </c>
      <c r="D2537" s="11">
        <v>1</v>
      </c>
      <c r="E2537" s="11" t="s">
        <v>4</v>
      </c>
      <c r="F2537" s="12">
        <v>29901</v>
      </c>
      <c r="G2537" s="12">
        <v>29901</v>
      </c>
      <c r="H2537" s="11" t="str">
        <f t="shared" si="82"/>
        <v>平成6年9月14日</v>
      </c>
      <c r="I2537" s="22">
        <f t="shared" si="83"/>
        <v>34591</v>
      </c>
      <c r="J2537" s="1" t="str">
        <f>"00741711"</f>
        <v>00741711</v>
      </c>
      <c r="K2537" s="1" t="str">
        <f>"１４２０　　　　　　　　　　　　　　　　"</f>
        <v>１４２０　　　　　　　　　　　　　　　　</v>
      </c>
      <c r="L2537" s="1"/>
    </row>
    <row r="2538" spans="1:12" ht="18" customHeight="1" x14ac:dyDescent="0.15">
      <c r="A2538" s="11">
        <v>2658</v>
      </c>
      <c r="B2538" s="11" t="s">
        <v>53</v>
      </c>
      <c r="C2538" s="11" t="s">
        <v>164</v>
      </c>
      <c r="D2538" s="11">
        <v>1</v>
      </c>
      <c r="E2538" s="11" t="s">
        <v>4</v>
      </c>
      <c r="F2538" s="12">
        <v>29901</v>
      </c>
      <c r="G2538" s="12">
        <v>29901</v>
      </c>
      <c r="H2538" s="11" t="str">
        <f t="shared" si="82"/>
        <v>平成6年9月14日</v>
      </c>
      <c r="I2538" s="22">
        <f t="shared" si="83"/>
        <v>34591</v>
      </c>
      <c r="J2538" s="1" t="str">
        <f>"00741713"</f>
        <v>00741713</v>
      </c>
      <c r="K2538" s="1" t="str">
        <f>"１４２１　　　　　　　　　　　　　　　　"</f>
        <v>１４２１　　　　　　　　　　　　　　　　</v>
      </c>
      <c r="L2538" s="1"/>
    </row>
    <row r="2539" spans="1:12" ht="18" customHeight="1" x14ac:dyDescent="0.15">
      <c r="A2539" s="11">
        <v>2659</v>
      </c>
      <c r="B2539" s="11" t="s">
        <v>53</v>
      </c>
      <c r="C2539" s="11" t="s">
        <v>164</v>
      </c>
      <c r="D2539" s="11">
        <v>1</v>
      </c>
      <c r="E2539" s="11" t="s">
        <v>4</v>
      </c>
      <c r="F2539" s="12">
        <v>29901</v>
      </c>
      <c r="G2539" s="12">
        <v>29901</v>
      </c>
      <c r="H2539" s="11" t="str">
        <f t="shared" si="82"/>
        <v>平成6年9月14日</v>
      </c>
      <c r="I2539" s="22">
        <f t="shared" si="83"/>
        <v>34591</v>
      </c>
      <c r="J2539" s="1" t="str">
        <f>"00741715"</f>
        <v>00741715</v>
      </c>
      <c r="K2539" s="1" t="str">
        <f>"１４２２　　　　　　　　　　　　　　　　"</f>
        <v>１４２２　　　　　　　　　　　　　　　　</v>
      </c>
      <c r="L2539" s="1"/>
    </row>
    <row r="2540" spans="1:12" ht="18" customHeight="1" x14ac:dyDescent="0.15">
      <c r="A2540" s="11">
        <v>2660</v>
      </c>
      <c r="B2540" s="11" t="s">
        <v>53</v>
      </c>
      <c r="C2540" s="11" t="s">
        <v>164</v>
      </c>
      <c r="D2540" s="11">
        <v>1</v>
      </c>
      <c r="E2540" s="11" t="s">
        <v>4</v>
      </c>
      <c r="F2540" s="12">
        <v>29901</v>
      </c>
      <c r="G2540" s="12">
        <v>29901</v>
      </c>
      <c r="H2540" s="11" t="str">
        <f t="shared" si="82"/>
        <v>平成6年9月14日</v>
      </c>
      <c r="I2540" s="22">
        <f t="shared" si="83"/>
        <v>34591</v>
      </c>
      <c r="J2540" s="1" t="str">
        <f>"00741717"</f>
        <v>00741717</v>
      </c>
      <c r="K2540" s="1" t="str">
        <f>"１４２３　　　　　　　　　　　　　　　　"</f>
        <v>１４２３　　　　　　　　　　　　　　　　</v>
      </c>
      <c r="L2540" s="1"/>
    </row>
    <row r="2541" spans="1:12" ht="18" customHeight="1" x14ac:dyDescent="0.15">
      <c r="A2541" s="11">
        <v>2661</v>
      </c>
      <c r="B2541" s="11" t="s">
        <v>53</v>
      </c>
      <c r="C2541" s="11" t="s">
        <v>164</v>
      </c>
      <c r="D2541" s="11">
        <v>1</v>
      </c>
      <c r="E2541" s="11" t="s">
        <v>4</v>
      </c>
      <c r="F2541" s="12">
        <v>29901</v>
      </c>
      <c r="G2541" s="12">
        <v>29901</v>
      </c>
      <c r="H2541" s="11" t="str">
        <f t="shared" si="82"/>
        <v>平成6年9月14日</v>
      </c>
      <c r="I2541" s="22">
        <f t="shared" si="83"/>
        <v>34591</v>
      </c>
      <c r="J2541" s="1" t="str">
        <f>"00741719"</f>
        <v>00741719</v>
      </c>
      <c r="K2541" s="1" t="str">
        <f>"１４２４　　　　　　　　　　　　　　　　"</f>
        <v>１４２４　　　　　　　　　　　　　　　　</v>
      </c>
      <c r="L2541" s="1"/>
    </row>
    <row r="2542" spans="1:12" ht="18" customHeight="1" x14ac:dyDescent="0.15">
      <c r="A2542" s="11">
        <v>2662</v>
      </c>
      <c r="B2542" s="11" t="s">
        <v>53</v>
      </c>
      <c r="C2542" s="11" t="s">
        <v>164</v>
      </c>
      <c r="D2542" s="11">
        <v>1</v>
      </c>
      <c r="E2542" s="11" t="s">
        <v>4</v>
      </c>
      <c r="F2542" s="12">
        <v>29901</v>
      </c>
      <c r="G2542" s="12">
        <v>29901</v>
      </c>
      <c r="H2542" s="11" t="str">
        <f t="shared" si="82"/>
        <v>平成6年9月14日</v>
      </c>
      <c r="I2542" s="22">
        <f t="shared" si="83"/>
        <v>34591</v>
      </c>
      <c r="J2542" s="1" t="str">
        <f>"00741721"</f>
        <v>00741721</v>
      </c>
      <c r="K2542" s="1" t="str">
        <f>"１４２５　　　　　　　　　　　　　　　　"</f>
        <v>１４２５　　　　　　　　　　　　　　　　</v>
      </c>
      <c r="L2542" s="1"/>
    </row>
    <row r="2543" spans="1:12" ht="18" customHeight="1" x14ac:dyDescent="0.15">
      <c r="A2543" s="11">
        <v>2663</v>
      </c>
      <c r="B2543" s="11" t="s">
        <v>53</v>
      </c>
      <c r="C2543" s="11" t="s">
        <v>164</v>
      </c>
      <c r="D2543" s="11">
        <v>1</v>
      </c>
      <c r="E2543" s="11" t="s">
        <v>4</v>
      </c>
      <c r="F2543" s="12">
        <v>29901</v>
      </c>
      <c r="G2543" s="12">
        <v>29901</v>
      </c>
      <c r="H2543" s="11" t="str">
        <f t="shared" si="82"/>
        <v>平成6年9月14日</v>
      </c>
      <c r="I2543" s="22">
        <f t="shared" si="83"/>
        <v>34591</v>
      </c>
      <c r="J2543" s="1" t="str">
        <f>"00741723"</f>
        <v>00741723</v>
      </c>
      <c r="K2543" s="1" t="str">
        <f>"１４２６　　　　　　　　　　　　　　　　"</f>
        <v>１４２６　　　　　　　　　　　　　　　　</v>
      </c>
      <c r="L2543" s="1"/>
    </row>
    <row r="2544" spans="1:12" ht="18" customHeight="1" x14ac:dyDescent="0.15">
      <c r="A2544" s="11">
        <v>2664</v>
      </c>
      <c r="B2544" s="11" t="s">
        <v>53</v>
      </c>
      <c r="C2544" s="11" t="s">
        <v>164</v>
      </c>
      <c r="D2544" s="11">
        <v>1</v>
      </c>
      <c r="E2544" s="11" t="s">
        <v>4</v>
      </c>
      <c r="F2544" s="12">
        <v>29901</v>
      </c>
      <c r="G2544" s="12">
        <v>29901</v>
      </c>
      <c r="H2544" s="11" t="str">
        <f t="shared" si="82"/>
        <v>平成6年9月14日</v>
      </c>
      <c r="I2544" s="22">
        <f t="shared" si="83"/>
        <v>34591</v>
      </c>
      <c r="J2544" s="1" t="str">
        <f>"00741725"</f>
        <v>00741725</v>
      </c>
      <c r="K2544" s="1" t="str">
        <f>"１４２７　　　　　　　　　　　　　　　　"</f>
        <v>１４２７　　　　　　　　　　　　　　　　</v>
      </c>
      <c r="L2544" s="1"/>
    </row>
    <row r="2545" spans="1:12" ht="18" customHeight="1" x14ac:dyDescent="0.15">
      <c r="A2545" s="11">
        <v>2665</v>
      </c>
      <c r="B2545" s="11" t="s">
        <v>53</v>
      </c>
      <c r="C2545" s="11" t="s">
        <v>164</v>
      </c>
      <c r="D2545" s="11">
        <v>1</v>
      </c>
      <c r="E2545" s="11" t="s">
        <v>4</v>
      </c>
      <c r="F2545" s="12">
        <v>29901</v>
      </c>
      <c r="G2545" s="12">
        <v>29901</v>
      </c>
      <c r="H2545" s="11" t="str">
        <f t="shared" si="82"/>
        <v>平成6年9月14日</v>
      </c>
      <c r="I2545" s="22">
        <f t="shared" si="83"/>
        <v>34591</v>
      </c>
      <c r="J2545" s="1" t="str">
        <f>"00741727"</f>
        <v>00741727</v>
      </c>
      <c r="K2545" s="1" t="str">
        <f>"１４２８　　　　　　　　　　　　　　　　"</f>
        <v>１４２８　　　　　　　　　　　　　　　　</v>
      </c>
      <c r="L2545" s="1"/>
    </row>
    <row r="2546" spans="1:12" ht="18" customHeight="1" x14ac:dyDescent="0.15">
      <c r="A2546" s="11">
        <v>2666</v>
      </c>
      <c r="B2546" s="11" t="s">
        <v>53</v>
      </c>
      <c r="C2546" s="11" t="s">
        <v>164</v>
      </c>
      <c r="D2546" s="11">
        <v>1</v>
      </c>
      <c r="E2546" s="11" t="s">
        <v>4</v>
      </c>
      <c r="F2546" s="12">
        <v>29901</v>
      </c>
      <c r="G2546" s="12">
        <v>29901</v>
      </c>
      <c r="H2546" s="11" t="str">
        <f t="shared" si="82"/>
        <v>平成6年9月14日</v>
      </c>
      <c r="I2546" s="22">
        <f t="shared" si="83"/>
        <v>34591</v>
      </c>
      <c r="J2546" s="1" t="str">
        <f>"00741729"</f>
        <v>00741729</v>
      </c>
      <c r="K2546" s="1" t="str">
        <f>"１４２９　　　　　　　　　　　　　　　　"</f>
        <v>１４２９　　　　　　　　　　　　　　　　</v>
      </c>
      <c r="L2546" s="1"/>
    </row>
    <row r="2547" spans="1:12" ht="18" customHeight="1" x14ac:dyDescent="0.15">
      <c r="A2547" s="11">
        <v>2667</v>
      </c>
      <c r="B2547" s="11" t="s">
        <v>53</v>
      </c>
      <c r="C2547" s="11" t="s">
        <v>164</v>
      </c>
      <c r="D2547" s="11">
        <v>1</v>
      </c>
      <c r="E2547" s="11" t="s">
        <v>4</v>
      </c>
      <c r="F2547" s="12">
        <v>29901</v>
      </c>
      <c r="G2547" s="12">
        <v>29901</v>
      </c>
      <c r="H2547" s="11" t="str">
        <f t="shared" si="82"/>
        <v>平成6年9月14日</v>
      </c>
      <c r="I2547" s="22">
        <f t="shared" si="83"/>
        <v>34591</v>
      </c>
      <c r="J2547" s="1" t="str">
        <f>"00741731"</f>
        <v>00741731</v>
      </c>
      <c r="K2547" s="1" t="str">
        <f>"１４３０　　　　　　　　　　　　　　　　"</f>
        <v>１４３０　　　　　　　　　　　　　　　　</v>
      </c>
      <c r="L2547" s="1"/>
    </row>
    <row r="2548" spans="1:12" ht="18" customHeight="1" x14ac:dyDescent="0.15">
      <c r="A2548" s="11">
        <v>2668</v>
      </c>
      <c r="B2548" s="11" t="s">
        <v>53</v>
      </c>
      <c r="C2548" s="11" t="s">
        <v>164</v>
      </c>
      <c r="D2548" s="11">
        <v>1</v>
      </c>
      <c r="E2548" s="11" t="s">
        <v>4</v>
      </c>
      <c r="F2548" s="12">
        <v>29901</v>
      </c>
      <c r="G2548" s="12">
        <v>29901</v>
      </c>
      <c r="H2548" s="11" t="str">
        <f t="shared" si="82"/>
        <v>平成6年9月14日</v>
      </c>
      <c r="I2548" s="22">
        <f t="shared" si="83"/>
        <v>34591</v>
      </c>
      <c r="J2548" s="1" t="str">
        <f>"00741733"</f>
        <v>00741733</v>
      </c>
      <c r="K2548" s="1" t="str">
        <f>"１４３１　　　　　　　　　　　　　　　　"</f>
        <v>１４３１　　　　　　　　　　　　　　　　</v>
      </c>
      <c r="L2548" s="1"/>
    </row>
    <row r="2549" spans="1:12" ht="18" customHeight="1" x14ac:dyDescent="0.15">
      <c r="A2549" s="11">
        <v>2669</v>
      </c>
      <c r="B2549" s="11" t="s">
        <v>53</v>
      </c>
      <c r="C2549" s="11" t="s">
        <v>164</v>
      </c>
      <c r="D2549" s="11">
        <v>1</v>
      </c>
      <c r="E2549" s="11" t="s">
        <v>4</v>
      </c>
      <c r="F2549" s="12">
        <v>29901</v>
      </c>
      <c r="G2549" s="12">
        <v>29901</v>
      </c>
      <c r="H2549" s="11" t="str">
        <f t="shared" si="82"/>
        <v>平成6年9月14日</v>
      </c>
      <c r="I2549" s="22">
        <f t="shared" si="83"/>
        <v>34591</v>
      </c>
      <c r="J2549" s="1" t="str">
        <f>"00741735"</f>
        <v>00741735</v>
      </c>
      <c r="K2549" s="1" t="str">
        <f>"１４３２　　　　　　　　　　　　　　　　"</f>
        <v>１４３２　　　　　　　　　　　　　　　　</v>
      </c>
      <c r="L2549" s="1"/>
    </row>
    <row r="2550" spans="1:12" ht="18" customHeight="1" x14ac:dyDescent="0.15">
      <c r="A2550" s="11">
        <v>2670</v>
      </c>
      <c r="B2550" s="11" t="s">
        <v>53</v>
      </c>
      <c r="C2550" s="11" t="s">
        <v>164</v>
      </c>
      <c r="D2550" s="11">
        <v>1</v>
      </c>
      <c r="E2550" s="11" t="s">
        <v>4</v>
      </c>
      <c r="F2550" s="12">
        <v>29901</v>
      </c>
      <c r="G2550" s="12">
        <v>29901</v>
      </c>
      <c r="H2550" s="11" t="str">
        <f t="shared" si="82"/>
        <v>平成6年9月14日</v>
      </c>
      <c r="I2550" s="22">
        <f t="shared" si="83"/>
        <v>34591</v>
      </c>
      <c r="J2550" s="1" t="str">
        <f>"00741737"</f>
        <v>00741737</v>
      </c>
      <c r="K2550" s="1" t="str">
        <f>"１４３３　　　　　　　　　　　　　　　　"</f>
        <v>１４３３　　　　　　　　　　　　　　　　</v>
      </c>
      <c r="L2550" s="1"/>
    </row>
    <row r="2551" spans="1:12" ht="18" customHeight="1" x14ac:dyDescent="0.15">
      <c r="A2551" s="11">
        <v>2671</v>
      </c>
      <c r="B2551" s="11" t="s">
        <v>53</v>
      </c>
      <c r="C2551" s="11" t="s">
        <v>164</v>
      </c>
      <c r="D2551" s="11">
        <v>1</v>
      </c>
      <c r="E2551" s="11" t="s">
        <v>4</v>
      </c>
      <c r="F2551" s="12">
        <v>29901</v>
      </c>
      <c r="G2551" s="12">
        <v>29901</v>
      </c>
      <c r="H2551" s="11" t="str">
        <f t="shared" si="82"/>
        <v>平成6年9月14日</v>
      </c>
      <c r="I2551" s="22">
        <f t="shared" si="83"/>
        <v>34591</v>
      </c>
      <c r="J2551" s="1" t="str">
        <f>"00741739"</f>
        <v>00741739</v>
      </c>
      <c r="K2551" s="1" t="str">
        <f>"１４３４　　　　　　　　　　　　　　　　"</f>
        <v>１４３４　　　　　　　　　　　　　　　　</v>
      </c>
      <c r="L2551" s="1"/>
    </row>
    <row r="2552" spans="1:12" ht="18" customHeight="1" x14ac:dyDescent="0.15">
      <c r="A2552" s="11">
        <v>2672</v>
      </c>
      <c r="B2552" s="11" t="s">
        <v>53</v>
      </c>
      <c r="C2552" s="11" t="s">
        <v>164</v>
      </c>
      <c r="D2552" s="11">
        <v>1</v>
      </c>
      <c r="E2552" s="11" t="s">
        <v>4</v>
      </c>
      <c r="F2552" s="12">
        <v>29901</v>
      </c>
      <c r="G2552" s="12">
        <v>29901</v>
      </c>
      <c r="H2552" s="11" t="str">
        <f t="shared" si="82"/>
        <v>平成6年9月14日</v>
      </c>
      <c r="I2552" s="22">
        <f t="shared" si="83"/>
        <v>34591</v>
      </c>
      <c r="J2552" s="1" t="str">
        <f>"00741741"</f>
        <v>00741741</v>
      </c>
      <c r="K2552" s="1" t="str">
        <f>"１４３５　　　　　　　　　　　　　　　　"</f>
        <v>１４３５　　　　　　　　　　　　　　　　</v>
      </c>
      <c r="L2552" s="1"/>
    </row>
    <row r="2553" spans="1:12" ht="18" customHeight="1" x14ac:dyDescent="0.15">
      <c r="A2553" s="11">
        <v>2673</v>
      </c>
      <c r="B2553" s="11" t="s">
        <v>53</v>
      </c>
      <c r="C2553" s="11" t="s">
        <v>164</v>
      </c>
      <c r="D2553" s="11">
        <v>1</v>
      </c>
      <c r="E2553" s="11" t="s">
        <v>4</v>
      </c>
      <c r="F2553" s="12">
        <v>29901</v>
      </c>
      <c r="G2553" s="12">
        <v>29901</v>
      </c>
      <c r="H2553" s="11" t="str">
        <f t="shared" si="82"/>
        <v>平成6年9月14日</v>
      </c>
      <c r="I2553" s="22">
        <f t="shared" si="83"/>
        <v>34591</v>
      </c>
      <c r="J2553" s="1" t="str">
        <f>"00741743"</f>
        <v>00741743</v>
      </c>
      <c r="K2553" s="1" t="str">
        <f>"１４３６　　　　　　　　　　　　　　　　"</f>
        <v>１４３６　　　　　　　　　　　　　　　　</v>
      </c>
      <c r="L2553" s="1"/>
    </row>
    <row r="2554" spans="1:12" ht="18" customHeight="1" x14ac:dyDescent="0.15">
      <c r="A2554" s="11">
        <v>2674</v>
      </c>
      <c r="B2554" s="11" t="s">
        <v>53</v>
      </c>
      <c r="C2554" s="11" t="s">
        <v>164</v>
      </c>
      <c r="D2554" s="11">
        <v>1</v>
      </c>
      <c r="E2554" s="11" t="s">
        <v>4</v>
      </c>
      <c r="F2554" s="12">
        <v>29901</v>
      </c>
      <c r="G2554" s="12">
        <v>29901</v>
      </c>
      <c r="H2554" s="11" t="str">
        <f t="shared" si="82"/>
        <v>平成6年9月14日</v>
      </c>
      <c r="I2554" s="22">
        <f t="shared" si="83"/>
        <v>34591</v>
      </c>
      <c r="J2554" s="1" t="str">
        <f>"00741745"</f>
        <v>00741745</v>
      </c>
      <c r="K2554" s="1" t="str">
        <f>"１４３７　　　　　　　　　　　　　　　　"</f>
        <v>１４３７　　　　　　　　　　　　　　　　</v>
      </c>
      <c r="L2554" s="1"/>
    </row>
    <row r="2555" spans="1:12" ht="18" customHeight="1" x14ac:dyDescent="0.15">
      <c r="A2555" s="11">
        <v>2675</v>
      </c>
      <c r="B2555" s="11" t="s">
        <v>53</v>
      </c>
      <c r="C2555" s="11" t="s">
        <v>164</v>
      </c>
      <c r="D2555" s="11">
        <v>1</v>
      </c>
      <c r="E2555" s="11" t="s">
        <v>4</v>
      </c>
      <c r="F2555" s="12">
        <v>29901</v>
      </c>
      <c r="G2555" s="12">
        <v>29901</v>
      </c>
      <c r="H2555" s="11" t="str">
        <f t="shared" si="82"/>
        <v>平成6年9月14日</v>
      </c>
      <c r="I2555" s="22">
        <f t="shared" si="83"/>
        <v>34591</v>
      </c>
      <c r="J2555" s="1" t="str">
        <f>"00741747"</f>
        <v>00741747</v>
      </c>
      <c r="K2555" s="1" t="str">
        <f>"１４３８　　　　　　　　　　　　　　　　"</f>
        <v>１４３８　　　　　　　　　　　　　　　　</v>
      </c>
      <c r="L2555" s="1"/>
    </row>
    <row r="2556" spans="1:12" ht="18" customHeight="1" x14ac:dyDescent="0.15">
      <c r="A2556" s="11">
        <v>2676</v>
      </c>
      <c r="B2556" s="11" t="s">
        <v>53</v>
      </c>
      <c r="C2556" s="11" t="s">
        <v>164</v>
      </c>
      <c r="D2556" s="11">
        <v>1</v>
      </c>
      <c r="E2556" s="11" t="s">
        <v>4</v>
      </c>
      <c r="F2556" s="12">
        <v>29901</v>
      </c>
      <c r="G2556" s="12">
        <v>29901</v>
      </c>
      <c r="H2556" s="11" t="str">
        <f t="shared" si="82"/>
        <v>平成6年9月14日</v>
      </c>
      <c r="I2556" s="22">
        <f t="shared" si="83"/>
        <v>34591</v>
      </c>
      <c r="J2556" s="1" t="str">
        <f>"00741749"</f>
        <v>00741749</v>
      </c>
      <c r="K2556" s="1" t="str">
        <f>"１４３９　　　　　　　　　　　　　　　　"</f>
        <v>１４３９　　　　　　　　　　　　　　　　</v>
      </c>
      <c r="L2556" s="1"/>
    </row>
    <row r="2557" spans="1:12" ht="18" customHeight="1" x14ac:dyDescent="0.15">
      <c r="A2557" s="11">
        <v>2677</v>
      </c>
      <c r="B2557" s="11" t="s">
        <v>53</v>
      </c>
      <c r="C2557" s="11" t="s">
        <v>164</v>
      </c>
      <c r="D2557" s="11">
        <v>1</v>
      </c>
      <c r="E2557" s="11" t="s">
        <v>4</v>
      </c>
      <c r="F2557" s="12">
        <v>29901</v>
      </c>
      <c r="G2557" s="12">
        <v>29901</v>
      </c>
      <c r="H2557" s="11" t="str">
        <f t="shared" si="82"/>
        <v>平成6年9月14日</v>
      </c>
      <c r="I2557" s="22">
        <f t="shared" si="83"/>
        <v>34591</v>
      </c>
      <c r="J2557" s="1" t="str">
        <f>"00741751"</f>
        <v>00741751</v>
      </c>
      <c r="K2557" s="1" t="str">
        <f>"１４４０　　　　　　　　　　　　　　　　"</f>
        <v>１４４０　　　　　　　　　　　　　　　　</v>
      </c>
      <c r="L2557" s="1"/>
    </row>
    <row r="2558" spans="1:12" ht="18" customHeight="1" x14ac:dyDescent="0.15">
      <c r="A2558" s="11">
        <v>2678</v>
      </c>
      <c r="B2558" s="11" t="s">
        <v>53</v>
      </c>
      <c r="C2558" s="11" t="s">
        <v>164</v>
      </c>
      <c r="D2558" s="11">
        <v>1</v>
      </c>
      <c r="E2558" s="11" t="s">
        <v>4</v>
      </c>
      <c r="F2558" s="12">
        <v>29901</v>
      </c>
      <c r="G2558" s="12">
        <v>29901</v>
      </c>
      <c r="H2558" s="11" t="str">
        <f t="shared" si="82"/>
        <v>平成6年9月14日</v>
      </c>
      <c r="I2558" s="22">
        <f t="shared" si="83"/>
        <v>34591</v>
      </c>
      <c r="J2558" s="1" t="str">
        <f>"00741753"</f>
        <v>00741753</v>
      </c>
      <c r="K2558" s="1" t="str">
        <f>"１４４１　　　　　　　　　　　　　　　　"</f>
        <v>１４４１　　　　　　　　　　　　　　　　</v>
      </c>
      <c r="L2558" s="1"/>
    </row>
    <row r="2559" spans="1:12" ht="18" customHeight="1" x14ac:dyDescent="0.15">
      <c r="A2559" s="11">
        <v>2679</v>
      </c>
      <c r="B2559" s="11" t="s">
        <v>53</v>
      </c>
      <c r="C2559" s="11" t="s">
        <v>164</v>
      </c>
      <c r="D2559" s="11">
        <v>1</v>
      </c>
      <c r="E2559" s="11" t="s">
        <v>4</v>
      </c>
      <c r="F2559" s="12">
        <v>29901</v>
      </c>
      <c r="G2559" s="12">
        <v>29901</v>
      </c>
      <c r="H2559" s="11" t="str">
        <f t="shared" si="82"/>
        <v>平成6年9月14日</v>
      </c>
      <c r="I2559" s="22">
        <f t="shared" si="83"/>
        <v>34591</v>
      </c>
      <c r="J2559" s="1" t="str">
        <f>"00741755"</f>
        <v>00741755</v>
      </c>
      <c r="K2559" s="1" t="str">
        <f>"１４４２　　　　　　　　　　　　　　　　"</f>
        <v>１４４２　　　　　　　　　　　　　　　　</v>
      </c>
      <c r="L2559" s="1"/>
    </row>
    <row r="2560" spans="1:12" ht="18" customHeight="1" x14ac:dyDescent="0.15">
      <c r="A2560" s="11">
        <v>2680</v>
      </c>
      <c r="B2560" s="11" t="s">
        <v>53</v>
      </c>
      <c r="C2560" s="11" t="s">
        <v>164</v>
      </c>
      <c r="D2560" s="11">
        <v>1</v>
      </c>
      <c r="E2560" s="11" t="s">
        <v>4</v>
      </c>
      <c r="F2560" s="12">
        <v>29901</v>
      </c>
      <c r="G2560" s="12">
        <v>29901</v>
      </c>
      <c r="H2560" s="11" t="str">
        <f t="shared" si="82"/>
        <v>平成6年9月14日</v>
      </c>
      <c r="I2560" s="22">
        <f t="shared" si="83"/>
        <v>34591</v>
      </c>
      <c r="J2560" s="1" t="str">
        <f>"00741757"</f>
        <v>00741757</v>
      </c>
      <c r="K2560" s="1" t="str">
        <f>"１４４３　　　　　　　　　　　　　　　　"</f>
        <v>１４４３　　　　　　　　　　　　　　　　</v>
      </c>
      <c r="L2560" s="1"/>
    </row>
    <row r="2561" spans="1:12" ht="18" customHeight="1" x14ac:dyDescent="0.15">
      <c r="A2561" s="11">
        <v>2681</v>
      </c>
      <c r="B2561" s="11" t="s">
        <v>53</v>
      </c>
      <c r="C2561" s="11" t="s">
        <v>164</v>
      </c>
      <c r="D2561" s="11">
        <v>1</v>
      </c>
      <c r="E2561" s="11" t="s">
        <v>4</v>
      </c>
      <c r="F2561" s="12">
        <v>29901</v>
      </c>
      <c r="G2561" s="12">
        <v>29901</v>
      </c>
      <c r="H2561" s="11" t="str">
        <f t="shared" si="82"/>
        <v>平成6年9月14日</v>
      </c>
      <c r="I2561" s="22">
        <f t="shared" si="83"/>
        <v>34591</v>
      </c>
      <c r="J2561" s="1" t="str">
        <f>"00741759"</f>
        <v>00741759</v>
      </c>
      <c r="K2561" s="1" t="str">
        <f>"１４４４　　　　　　　　　　　　　　　　"</f>
        <v>１４４４　　　　　　　　　　　　　　　　</v>
      </c>
      <c r="L2561" s="1"/>
    </row>
    <row r="2562" spans="1:12" ht="18" customHeight="1" x14ac:dyDescent="0.15">
      <c r="A2562" s="11">
        <v>2682</v>
      </c>
      <c r="B2562" s="11" t="s">
        <v>53</v>
      </c>
      <c r="C2562" s="11" t="s">
        <v>164</v>
      </c>
      <c r="D2562" s="11">
        <v>1</v>
      </c>
      <c r="E2562" s="11" t="s">
        <v>4</v>
      </c>
      <c r="F2562" s="12">
        <v>29901</v>
      </c>
      <c r="G2562" s="12">
        <v>29901</v>
      </c>
      <c r="H2562" s="11" t="str">
        <f t="shared" si="82"/>
        <v>平成6年9月14日</v>
      </c>
      <c r="I2562" s="22">
        <f t="shared" si="83"/>
        <v>34591</v>
      </c>
      <c r="J2562" s="1" t="str">
        <f>"00741761"</f>
        <v>00741761</v>
      </c>
      <c r="K2562" s="1" t="str">
        <f>"１４４５　　　　　　　　　　　　　　　　"</f>
        <v>１４４５　　　　　　　　　　　　　　　　</v>
      </c>
      <c r="L2562" s="1"/>
    </row>
    <row r="2563" spans="1:12" ht="18" customHeight="1" x14ac:dyDescent="0.15">
      <c r="A2563" s="11">
        <v>2683</v>
      </c>
      <c r="B2563" s="11" t="s">
        <v>53</v>
      </c>
      <c r="C2563" s="11" t="s">
        <v>164</v>
      </c>
      <c r="D2563" s="11">
        <v>1</v>
      </c>
      <c r="E2563" s="11" t="s">
        <v>4</v>
      </c>
      <c r="F2563" s="12">
        <v>29901</v>
      </c>
      <c r="G2563" s="12">
        <v>29901</v>
      </c>
      <c r="H2563" s="11" t="str">
        <f t="shared" si="82"/>
        <v>平成6年9月14日</v>
      </c>
      <c r="I2563" s="22">
        <f t="shared" si="83"/>
        <v>34591</v>
      </c>
      <c r="J2563" s="1" t="str">
        <f>"00741763"</f>
        <v>00741763</v>
      </c>
      <c r="K2563" s="1" t="str">
        <f>"１４４６　　　　　　　　　　　　　　　　"</f>
        <v>１４４６　　　　　　　　　　　　　　　　</v>
      </c>
      <c r="L2563" s="1"/>
    </row>
    <row r="2564" spans="1:12" ht="18" customHeight="1" x14ac:dyDescent="0.15">
      <c r="A2564" s="11">
        <v>2684</v>
      </c>
      <c r="B2564" s="11" t="s">
        <v>53</v>
      </c>
      <c r="C2564" s="11" t="s">
        <v>164</v>
      </c>
      <c r="D2564" s="11">
        <v>1</v>
      </c>
      <c r="E2564" s="11" t="s">
        <v>4</v>
      </c>
      <c r="F2564" s="12">
        <v>29901</v>
      </c>
      <c r="G2564" s="12">
        <v>29901</v>
      </c>
      <c r="H2564" s="11" t="str">
        <f t="shared" si="82"/>
        <v>平成6年9月14日</v>
      </c>
      <c r="I2564" s="22">
        <f t="shared" si="83"/>
        <v>34591</v>
      </c>
      <c r="J2564" s="1" t="str">
        <f>"00741765"</f>
        <v>00741765</v>
      </c>
      <c r="K2564" s="1" t="str">
        <f>"１４４７　　　　　　　　　　　　　　　　"</f>
        <v>１４４７　　　　　　　　　　　　　　　　</v>
      </c>
      <c r="L2564" s="1"/>
    </row>
    <row r="2565" spans="1:12" ht="18" customHeight="1" x14ac:dyDescent="0.15">
      <c r="A2565" s="11">
        <v>2685</v>
      </c>
      <c r="B2565" s="11" t="s">
        <v>53</v>
      </c>
      <c r="C2565" s="11" t="s">
        <v>164</v>
      </c>
      <c r="D2565" s="11">
        <v>1</v>
      </c>
      <c r="E2565" s="11" t="s">
        <v>4</v>
      </c>
      <c r="F2565" s="12">
        <v>29901</v>
      </c>
      <c r="G2565" s="12">
        <v>29901</v>
      </c>
      <c r="H2565" s="11" t="str">
        <f t="shared" si="82"/>
        <v>平成6年9月14日</v>
      </c>
      <c r="I2565" s="22">
        <f t="shared" si="83"/>
        <v>34591</v>
      </c>
      <c r="J2565" s="1" t="str">
        <f>"00741767"</f>
        <v>00741767</v>
      </c>
      <c r="K2565" s="1" t="str">
        <f>"１４４８　　　　　　　　　　　　　　　　"</f>
        <v>１４４８　　　　　　　　　　　　　　　　</v>
      </c>
      <c r="L2565" s="1"/>
    </row>
    <row r="2566" spans="1:12" ht="18" customHeight="1" x14ac:dyDescent="0.15">
      <c r="A2566" s="11">
        <v>2686</v>
      </c>
      <c r="B2566" s="11" t="s">
        <v>53</v>
      </c>
      <c r="C2566" s="11" t="s">
        <v>164</v>
      </c>
      <c r="D2566" s="11">
        <v>1</v>
      </c>
      <c r="E2566" s="11" t="s">
        <v>4</v>
      </c>
      <c r="F2566" s="12">
        <v>29901</v>
      </c>
      <c r="G2566" s="12">
        <v>29901</v>
      </c>
      <c r="H2566" s="11" t="str">
        <f t="shared" si="82"/>
        <v>平成6年9月14日</v>
      </c>
      <c r="I2566" s="22">
        <f t="shared" si="83"/>
        <v>34591</v>
      </c>
      <c r="J2566" s="1" t="str">
        <f>"00741769"</f>
        <v>00741769</v>
      </c>
      <c r="K2566" s="1" t="str">
        <f>"１４４９　　　　　　　　　　　　　　　　"</f>
        <v>１４４９　　　　　　　　　　　　　　　　</v>
      </c>
      <c r="L2566" s="1"/>
    </row>
    <row r="2567" spans="1:12" ht="18" customHeight="1" x14ac:dyDescent="0.15">
      <c r="A2567" s="11">
        <v>2687</v>
      </c>
      <c r="B2567" s="11" t="s">
        <v>53</v>
      </c>
      <c r="C2567" s="11" t="s">
        <v>164</v>
      </c>
      <c r="D2567" s="11">
        <v>1</v>
      </c>
      <c r="E2567" s="11" t="s">
        <v>4</v>
      </c>
      <c r="F2567" s="12">
        <v>29901</v>
      </c>
      <c r="G2567" s="12">
        <v>29901</v>
      </c>
      <c r="H2567" s="11" t="str">
        <f t="shared" si="82"/>
        <v>平成6年9月14日</v>
      </c>
      <c r="I2567" s="22">
        <f t="shared" si="83"/>
        <v>34591</v>
      </c>
      <c r="J2567" s="1" t="str">
        <f>"00741771"</f>
        <v>00741771</v>
      </c>
      <c r="K2567" s="1" t="str">
        <f>"１４５０　　　　　　　　　　　　　　　　"</f>
        <v>１４５０　　　　　　　　　　　　　　　　</v>
      </c>
      <c r="L2567" s="1"/>
    </row>
    <row r="2568" spans="1:12" ht="18" customHeight="1" x14ac:dyDescent="0.15">
      <c r="A2568" s="11">
        <v>2688</v>
      </c>
      <c r="B2568" s="11" t="s">
        <v>53</v>
      </c>
      <c r="C2568" s="11" t="s">
        <v>164</v>
      </c>
      <c r="D2568" s="11">
        <v>1</v>
      </c>
      <c r="E2568" s="11" t="s">
        <v>4</v>
      </c>
      <c r="F2568" s="12">
        <v>29901</v>
      </c>
      <c r="G2568" s="12">
        <v>29901</v>
      </c>
      <c r="H2568" s="11" t="str">
        <f t="shared" si="82"/>
        <v>平成6年9月14日</v>
      </c>
      <c r="I2568" s="22">
        <f t="shared" si="83"/>
        <v>34591</v>
      </c>
      <c r="J2568" s="1" t="str">
        <f>"00741773"</f>
        <v>00741773</v>
      </c>
      <c r="K2568" s="1" t="str">
        <f>"１４５１　　　　　　　　　　　　　　　　"</f>
        <v>１４５１　　　　　　　　　　　　　　　　</v>
      </c>
      <c r="L2568" s="1"/>
    </row>
    <row r="2569" spans="1:12" ht="18" customHeight="1" x14ac:dyDescent="0.15">
      <c r="A2569" s="11">
        <v>2689</v>
      </c>
      <c r="B2569" s="11" t="s">
        <v>53</v>
      </c>
      <c r="C2569" s="11" t="s">
        <v>164</v>
      </c>
      <c r="D2569" s="11">
        <v>1</v>
      </c>
      <c r="E2569" s="11" t="s">
        <v>4</v>
      </c>
      <c r="F2569" s="12">
        <v>29901</v>
      </c>
      <c r="G2569" s="12">
        <v>29901</v>
      </c>
      <c r="H2569" s="11" t="str">
        <f t="shared" si="82"/>
        <v>平成6年9月14日</v>
      </c>
      <c r="I2569" s="22">
        <f t="shared" si="83"/>
        <v>34591</v>
      </c>
      <c r="J2569" s="1" t="str">
        <f>"00741774"</f>
        <v>00741774</v>
      </c>
      <c r="K2569" s="1" t="str">
        <f>"１４５２　　　　　　　　　　　　　　　　"</f>
        <v>１４５２　　　　　　　　　　　　　　　　</v>
      </c>
      <c r="L2569" s="1"/>
    </row>
    <row r="2570" spans="1:12" ht="18" customHeight="1" x14ac:dyDescent="0.15">
      <c r="A2570" s="11">
        <v>2690</v>
      </c>
      <c r="B2570" s="11" t="s">
        <v>53</v>
      </c>
      <c r="C2570" s="11" t="s">
        <v>164</v>
      </c>
      <c r="D2570" s="11">
        <v>1</v>
      </c>
      <c r="E2570" s="11" t="s">
        <v>4</v>
      </c>
      <c r="F2570" s="12">
        <v>29901</v>
      </c>
      <c r="G2570" s="12">
        <v>29901</v>
      </c>
      <c r="H2570" s="11" t="str">
        <f t="shared" si="82"/>
        <v>平成6年9月14日</v>
      </c>
      <c r="I2570" s="22">
        <f t="shared" si="83"/>
        <v>34591</v>
      </c>
      <c r="J2570" s="1" t="str">
        <f>"00741776"</f>
        <v>00741776</v>
      </c>
      <c r="K2570" s="1" t="str">
        <f>"１４５３　　　　　　　　　　　　　　　　"</f>
        <v>１４５３　　　　　　　　　　　　　　　　</v>
      </c>
      <c r="L2570" s="1"/>
    </row>
    <row r="2571" spans="1:12" ht="18" customHeight="1" x14ac:dyDescent="0.15">
      <c r="A2571" s="11">
        <v>2691</v>
      </c>
      <c r="B2571" s="11" t="s">
        <v>53</v>
      </c>
      <c r="C2571" s="11" t="s">
        <v>164</v>
      </c>
      <c r="D2571" s="11">
        <v>1</v>
      </c>
      <c r="E2571" s="11" t="s">
        <v>4</v>
      </c>
      <c r="F2571" s="12">
        <v>29901</v>
      </c>
      <c r="G2571" s="12">
        <v>29901</v>
      </c>
      <c r="H2571" s="11" t="str">
        <f t="shared" si="82"/>
        <v>平成6年9月14日</v>
      </c>
      <c r="I2571" s="22">
        <f t="shared" si="83"/>
        <v>34591</v>
      </c>
      <c r="J2571" s="1" t="str">
        <f>"00741778"</f>
        <v>00741778</v>
      </c>
      <c r="K2571" s="1" t="str">
        <f>"１４５４　　　　　　　　　　　　　　　　"</f>
        <v>１４５４　　　　　　　　　　　　　　　　</v>
      </c>
      <c r="L2571" s="1"/>
    </row>
    <row r="2572" spans="1:12" ht="18" customHeight="1" x14ac:dyDescent="0.15">
      <c r="A2572" s="11">
        <v>2692</v>
      </c>
      <c r="B2572" s="11" t="s">
        <v>53</v>
      </c>
      <c r="C2572" s="11" t="s">
        <v>164</v>
      </c>
      <c r="D2572" s="11">
        <v>1</v>
      </c>
      <c r="E2572" s="11" t="s">
        <v>4</v>
      </c>
      <c r="F2572" s="12">
        <v>29901</v>
      </c>
      <c r="G2572" s="12">
        <v>29901</v>
      </c>
      <c r="H2572" s="11" t="str">
        <f t="shared" si="82"/>
        <v>平成6年9月14日</v>
      </c>
      <c r="I2572" s="22">
        <f t="shared" si="83"/>
        <v>34591</v>
      </c>
      <c r="J2572" s="1" t="str">
        <f>"00741780"</f>
        <v>00741780</v>
      </c>
      <c r="K2572" s="1" t="str">
        <f>"１４５５　　　　　　　　　　　　　　　　"</f>
        <v>１４５５　　　　　　　　　　　　　　　　</v>
      </c>
      <c r="L2572" s="1"/>
    </row>
    <row r="2573" spans="1:12" ht="18" customHeight="1" x14ac:dyDescent="0.15">
      <c r="A2573" s="11">
        <v>2693</v>
      </c>
      <c r="B2573" s="11" t="s">
        <v>53</v>
      </c>
      <c r="C2573" s="11" t="s">
        <v>164</v>
      </c>
      <c r="D2573" s="11">
        <v>1</v>
      </c>
      <c r="E2573" s="11" t="s">
        <v>4</v>
      </c>
      <c r="F2573" s="12">
        <v>29901</v>
      </c>
      <c r="G2573" s="12">
        <v>29901</v>
      </c>
      <c r="H2573" s="11" t="str">
        <f t="shared" si="82"/>
        <v>平成6年9月14日</v>
      </c>
      <c r="I2573" s="22">
        <f t="shared" si="83"/>
        <v>34591</v>
      </c>
      <c r="J2573" s="1" t="str">
        <f>"00741782"</f>
        <v>00741782</v>
      </c>
      <c r="K2573" s="1" t="str">
        <f>"１４５６　　　　　　　　　　　　　　　　"</f>
        <v>１４５６　　　　　　　　　　　　　　　　</v>
      </c>
      <c r="L2573" s="1"/>
    </row>
    <row r="2574" spans="1:12" ht="18" customHeight="1" x14ac:dyDescent="0.15">
      <c r="A2574" s="11">
        <v>2694</v>
      </c>
      <c r="B2574" s="11" t="s">
        <v>53</v>
      </c>
      <c r="C2574" s="11" t="s">
        <v>164</v>
      </c>
      <c r="D2574" s="11">
        <v>1</v>
      </c>
      <c r="E2574" s="11" t="s">
        <v>4</v>
      </c>
      <c r="F2574" s="12">
        <v>29901</v>
      </c>
      <c r="G2574" s="12">
        <v>29901</v>
      </c>
      <c r="H2574" s="11" t="str">
        <f t="shared" si="82"/>
        <v>平成6年9月14日</v>
      </c>
      <c r="I2574" s="22">
        <f t="shared" si="83"/>
        <v>34591</v>
      </c>
      <c r="J2574" s="1" t="str">
        <f>"00741785"</f>
        <v>00741785</v>
      </c>
      <c r="K2574" s="1" t="str">
        <f>"１４５７　　　　　　　　　　　　　　　　"</f>
        <v>１４５７　　　　　　　　　　　　　　　　</v>
      </c>
      <c r="L2574" s="1"/>
    </row>
    <row r="2575" spans="1:12" ht="18" customHeight="1" x14ac:dyDescent="0.15">
      <c r="A2575" s="11">
        <v>2695</v>
      </c>
      <c r="B2575" s="11" t="s">
        <v>53</v>
      </c>
      <c r="C2575" s="11" t="s">
        <v>164</v>
      </c>
      <c r="D2575" s="11">
        <v>1</v>
      </c>
      <c r="E2575" s="11" t="s">
        <v>4</v>
      </c>
      <c r="F2575" s="12">
        <v>29901</v>
      </c>
      <c r="G2575" s="12">
        <v>29901</v>
      </c>
      <c r="H2575" s="11" t="str">
        <f t="shared" ref="H2575:H2638" si="84">"平成6年9月14日"</f>
        <v>平成6年9月14日</v>
      </c>
      <c r="I2575" s="22">
        <f t="shared" si="83"/>
        <v>34591</v>
      </c>
      <c r="J2575" s="1" t="str">
        <f>"00741787"</f>
        <v>00741787</v>
      </c>
      <c r="K2575" s="1" t="str">
        <f>"１４５８　　　　　　　　　　　　　　　　"</f>
        <v>１４５８　　　　　　　　　　　　　　　　</v>
      </c>
      <c r="L2575" s="1"/>
    </row>
    <row r="2576" spans="1:12" ht="18" customHeight="1" x14ac:dyDescent="0.15">
      <c r="A2576" s="11">
        <v>2696</v>
      </c>
      <c r="B2576" s="11" t="s">
        <v>53</v>
      </c>
      <c r="C2576" s="11" t="s">
        <v>164</v>
      </c>
      <c r="D2576" s="11">
        <v>1</v>
      </c>
      <c r="E2576" s="11" t="s">
        <v>4</v>
      </c>
      <c r="F2576" s="12">
        <v>29901</v>
      </c>
      <c r="G2576" s="12">
        <v>29901</v>
      </c>
      <c r="H2576" s="11" t="str">
        <f t="shared" si="84"/>
        <v>平成6年9月14日</v>
      </c>
      <c r="I2576" s="22">
        <f t="shared" si="83"/>
        <v>34591</v>
      </c>
      <c r="J2576" s="1" t="str">
        <f>"00741789"</f>
        <v>00741789</v>
      </c>
      <c r="K2576" s="1" t="str">
        <f>"１４５９　　　　　　　　　　　　　　　　"</f>
        <v>１４５９　　　　　　　　　　　　　　　　</v>
      </c>
      <c r="L2576" s="1"/>
    </row>
    <row r="2577" spans="1:12" ht="18" customHeight="1" x14ac:dyDescent="0.15">
      <c r="A2577" s="11">
        <v>2697</v>
      </c>
      <c r="B2577" s="11" t="s">
        <v>53</v>
      </c>
      <c r="C2577" s="11" t="s">
        <v>164</v>
      </c>
      <c r="D2577" s="11">
        <v>1</v>
      </c>
      <c r="E2577" s="11" t="s">
        <v>4</v>
      </c>
      <c r="F2577" s="12">
        <v>29901</v>
      </c>
      <c r="G2577" s="12">
        <v>29901</v>
      </c>
      <c r="H2577" s="11" t="str">
        <f t="shared" si="84"/>
        <v>平成6年9月14日</v>
      </c>
      <c r="I2577" s="22">
        <f t="shared" si="83"/>
        <v>34591</v>
      </c>
      <c r="J2577" s="1" t="str">
        <f>"00741791"</f>
        <v>00741791</v>
      </c>
      <c r="K2577" s="1" t="str">
        <f>"１４６０　　　　　　　　　　　　　　　　"</f>
        <v>１４６０　　　　　　　　　　　　　　　　</v>
      </c>
      <c r="L2577" s="1"/>
    </row>
    <row r="2578" spans="1:12" ht="18" customHeight="1" x14ac:dyDescent="0.15">
      <c r="A2578" s="11">
        <v>2698</v>
      </c>
      <c r="B2578" s="11" t="s">
        <v>53</v>
      </c>
      <c r="C2578" s="11" t="s">
        <v>164</v>
      </c>
      <c r="D2578" s="11">
        <v>1</v>
      </c>
      <c r="E2578" s="11" t="s">
        <v>4</v>
      </c>
      <c r="F2578" s="12">
        <v>29901</v>
      </c>
      <c r="G2578" s="12">
        <v>29901</v>
      </c>
      <c r="H2578" s="11" t="str">
        <f t="shared" si="84"/>
        <v>平成6年9月14日</v>
      </c>
      <c r="I2578" s="22">
        <f t="shared" ref="I2578:I2641" si="85">DATEVALUE(H2578)</f>
        <v>34591</v>
      </c>
      <c r="J2578" s="1" t="str">
        <f>"00741793"</f>
        <v>00741793</v>
      </c>
      <c r="K2578" s="1" t="str">
        <f>"１４６１　　　　　　　　　　　　　　　　"</f>
        <v>１４６１　　　　　　　　　　　　　　　　</v>
      </c>
      <c r="L2578" s="1"/>
    </row>
    <row r="2579" spans="1:12" ht="18" customHeight="1" x14ac:dyDescent="0.15">
      <c r="A2579" s="11">
        <v>2699</v>
      </c>
      <c r="B2579" s="11" t="s">
        <v>53</v>
      </c>
      <c r="C2579" s="11" t="s">
        <v>164</v>
      </c>
      <c r="D2579" s="11">
        <v>1</v>
      </c>
      <c r="E2579" s="11" t="s">
        <v>4</v>
      </c>
      <c r="F2579" s="12">
        <v>29901</v>
      </c>
      <c r="G2579" s="12">
        <v>29901</v>
      </c>
      <c r="H2579" s="11" t="str">
        <f t="shared" si="84"/>
        <v>平成6年9月14日</v>
      </c>
      <c r="I2579" s="22">
        <f t="shared" si="85"/>
        <v>34591</v>
      </c>
      <c r="J2579" s="1" t="str">
        <f>"00741795"</f>
        <v>00741795</v>
      </c>
      <c r="K2579" s="1" t="str">
        <f>"１４６２　　　　　　　　　　　　　　　　"</f>
        <v>１４６２　　　　　　　　　　　　　　　　</v>
      </c>
      <c r="L2579" s="1"/>
    </row>
    <row r="2580" spans="1:12" ht="18" customHeight="1" x14ac:dyDescent="0.15">
      <c r="A2580" s="11">
        <v>2700</v>
      </c>
      <c r="B2580" s="11" t="s">
        <v>53</v>
      </c>
      <c r="C2580" s="11" t="s">
        <v>164</v>
      </c>
      <c r="D2580" s="11">
        <v>1</v>
      </c>
      <c r="E2580" s="11" t="s">
        <v>4</v>
      </c>
      <c r="F2580" s="12">
        <v>29901</v>
      </c>
      <c r="G2580" s="12">
        <v>29901</v>
      </c>
      <c r="H2580" s="11" t="str">
        <f t="shared" si="84"/>
        <v>平成6年9月14日</v>
      </c>
      <c r="I2580" s="22">
        <f t="shared" si="85"/>
        <v>34591</v>
      </c>
      <c r="J2580" s="1" t="str">
        <f>"00741797"</f>
        <v>00741797</v>
      </c>
      <c r="K2580" s="1" t="str">
        <f>"１４６３　　　　　　　　　　　　　　　　"</f>
        <v>１４６３　　　　　　　　　　　　　　　　</v>
      </c>
      <c r="L2580" s="1"/>
    </row>
    <row r="2581" spans="1:12" ht="18" customHeight="1" x14ac:dyDescent="0.15">
      <c r="A2581" s="11">
        <v>2701</v>
      </c>
      <c r="B2581" s="11" t="s">
        <v>53</v>
      </c>
      <c r="C2581" s="11" t="s">
        <v>164</v>
      </c>
      <c r="D2581" s="11">
        <v>1</v>
      </c>
      <c r="E2581" s="11" t="s">
        <v>4</v>
      </c>
      <c r="F2581" s="12">
        <v>29901</v>
      </c>
      <c r="G2581" s="12">
        <v>29901</v>
      </c>
      <c r="H2581" s="11" t="str">
        <f t="shared" si="84"/>
        <v>平成6年9月14日</v>
      </c>
      <c r="I2581" s="22">
        <f t="shared" si="85"/>
        <v>34591</v>
      </c>
      <c r="J2581" s="1" t="str">
        <f>"00741799"</f>
        <v>00741799</v>
      </c>
      <c r="K2581" s="1" t="str">
        <f>"１４６４　　　　　　　　　　　　　　　　"</f>
        <v>１４６４　　　　　　　　　　　　　　　　</v>
      </c>
      <c r="L2581" s="1"/>
    </row>
    <row r="2582" spans="1:12" ht="18" customHeight="1" x14ac:dyDescent="0.15">
      <c r="A2582" s="11">
        <v>2702</v>
      </c>
      <c r="B2582" s="11" t="s">
        <v>53</v>
      </c>
      <c r="C2582" s="11" t="s">
        <v>164</v>
      </c>
      <c r="D2582" s="11">
        <v>1</v>
      </c>
      <c r="E2582" s="11" t="s">
        <v>4</v>
      </c>
      <c r="F2582" s="12">
        <v>29901</v>
      </c>
      <c r="G2582" s="12">
        <v>29901</v>
      </c>
      <c r="H2582" s="11" t="str">
        <f t="shared" si="84"/>
        <v>平成6年9月14日</v>
      </c>
      <c r="I2582" s="22">
        <f t="shared" si="85"/>
        <v>34591</v>
      </c>
      <c r="J2582" s="1" t="str">
        <f>"00741801"</f>
        <v>00741801</v>
      </c>
      <c r="K2582" s="1" t="str">
        <f>"１４６５　　　　　　　　　　　　　　　　"</f>
        <v>１４６５　　　　　　　　　　　　　　　　</v>
      </c>
      <c r="L2582" s="1"/>
    </row>
    <row r="2583" spans="1:12" ht="18" customHeight="1" x14ac:dyDescent="0.15">
      <c r="A2583" s="11">
        <v>2703</v>
      </c>
      <c r="B2583" s="11" t="s">
        <v>53</v>
      </c>
      <c r="C2583" s="11" t="s">
        <v>164</v>
      </c>
      <c r="D2583" s="11">
        <v>1</v>
      </c>
      <c r="E2583" s="11" t="s">
        <v>4</v>
      </c>
      <c r="F2583" s="12">
        <v>29901</v>
      </c>
      <c r="G2583" s="12">
        <v>29901</v>
      </c>
      <c r="H2583" s="11" t="str">
        <f t="shared" si="84"/>
        <v>平成6年9月14日</v>
      </c>
      <c r="I2583" s="22">
        <f t="shared" si="85"/>
        <v>34591</v>
      </c>
      <c r="J2583" s="1" t="str">
        <f>"00741803"</f>
        <v>00741803</v>
      </c>
      <c r="K2583" s="1" t="str">
        <f>"１４６６　　　　　　　　　　　　　　　　"</f>
        <v>１４６６　　　　　　　　　　　　　　　　</v>
      </c>
      <c r="L2583" s="1"/>
    </row>
    <row r="2584" spans="1:12" ht="18" customHeight="1" x14ac:dyDescent="0.15">
      <c r="A2584" s="11">
        <v>2704</v>
      </c>
      <c r="B2584" s="11" t="s">
        <v>53</v>
      </c>
      <c r="C2584" s="11" t="s">
        <v>164</v>
      </c>
      <c r="D2584" s="11">
        <v>1</v>
      </c>
      <c r="E2584" s="11" t="s">
        <v>4</v>
      </c>
      <c r="F2584" s="12">
        <v>29901</v>
      </c>
      <c r="G2584" s="12">
        <v>29901</v>
      </c>
      <c r="H2584" s="11" t="str">
        <f t="shared" si="84"/>
        <v>平成6年9月14日</v>
      </c>
      <c r="I2584" s="22">
        <f t="shared" si="85"/>
        <v>34591</v>
      </c>
      <c r="J2584" s="1" t="str">
        <f>"00741805"</f>
        <v>00741805</v>
      </c>
      <c r="K2584" s="1" t="str">
        <f>"１４６７　　　　　　　　　　　　　　　　"</f>
        <v>１４６７　　　　　　　　　　　　　　　　</v>
      </c>
      <c r="L2584" s="1"/>
    </row>
    <row r="2585" spans="1:12" ht="18" customHeight="1" x14ac:dyDescent="0.15">
      <c r="A2585" s="11">
        <v>2705</v>
      </c>
      <c r="B2585" s="11" t="s">
        <v>53</v>
      </c>
      <c r="C2585" s="11" t="s">
        <v>164</v>
      </c>
      <c r="D2585" s="11">
        <v>1</v>
      </c>
      <c r="E2585" s="11" t="s">
        <v>4</v>
      </c>
      <c r="F2585" s="12">
        <v>29901</v>
      </c>
      <c r="G2585" s="12">
        <v>29901</v>
      </c>
      <c r="H2585" s="11" t="str">
        <f t="shared" si="84"/>
        <v>平成6年9月14日</v>
      </c>
      <c r="I2585" s="22">
        <f t="shared" si="85"/>
        <v>34591</v>
      </c>
      <c r="J2585" s="1" t="str">
        <f>"00741807"</f>
        <v>00741807</v>
      </c>
      <c r="K2585" s="1" t="str">
        <f>"１４６８　　　　　　　　　　　　　　　　"</f>
        <v>１４６８　　　　　　　　　　　　　　　　</v>
      </c>
      <c r="L2585" s="1"/>
    </row>
    <row r="2586" spans="1:12" ht="18" customHeight="1" x14ac:dyDescent="0.15">
      <c r="A2586" s="11">
        <v>2706</v>
      </c>
      <c r="B2586" s="11" t="s">
        <v>53</v>
      </c>
      <c r="C2586" s="11" t="s">
        <v>164</v>
      </c>
      <c r="D2586" s="11">
        <v>1</v>
      </c>
      <c r="E2586" s="11" t="s">
        <v>4</v>
      </c>
      <c r="F2586" s="12">
        <v>29901</v>
      </c>
      <c r="G2586" s="12">
        <v>29901</v>
      </c>
      <c r="H2586" s="11" t="str">
        <f t="shared" si="84"/>
        <v>平成6年9月14日</v>
      </c>
      <c r="I2586" s="22">
        <f t="shared" si="85"/>
        <v>34591</v>
      </c>
      <c r="J2586" s="1" t="str">
        <f>"00741809"</f>
        <v>00741809</v>
      </c>
      <c r="K2586" s="1" t="str">
        <f>"１４６９　　　　　　　　　　　　　　　　"</f>
        <v>１４６９　　　　　　　　　　　　　　　　</v>
      </c>
      <c r="L2586" s="1"/>
    </row>
    <row r="2587" spans="1:12" ht="18" customHeight="1" x14ac:dyDescent="0.15">
      <c r="A2587" s="11">
        <v>2707</v>
      </c>
      <c r="B2587" s="11" t="s">
        <v>53</v>
      </c>
      <c r="C2587" s="11" t="s">
        <v>164</v>
      </c>
      <c r="D2587" s="11">
        <v>1</v>
      </c>
      <c r="E2587" s="11" t="s">
        <v>4</v>
      </c>
      <c r="F2587" s="12">
        <v>29901</v>
      </c>
      <c r="G2587" s="12">
        <v>29901</v>
      </c>
      <c r="H2587" s="11" t="str">
        <f t="shared" si="84"/>
        <v>平成6年9月14日</v>
      </c>
      <c r="I2587" s="22">
        <f t="shared" si="85"/>
        <v>34591</v>
      </c>
      <c r="J2587" s="1" t="str">
        <f>"00741811"</f>
        <v>00741811</v>
      </c>
      <c r="K2587" s="1" t="str">
        <f>"１４７０　　　　　　　　　　　　　　　　"</f>
        <v>１４７０　　　　　　　　　　　　　　　　</v>
      </c>
      <c r="L2587" s="1"/>
    </row>
    <row r="2588" spans="1:12" ht="18" customHeight="1" x14ac:dyDescent="0.15">
      <c r="A2588" s="11">
        <v>2708</v>
      </c>
      <c r="B2588" s="11" t="s">
        <v>53</v>
      </c>
      <c r="C2588" s="11" t="s">
        <v>164</v>
      </c>
      <c r="D2588" s="11">
        <v>1</v>
      </c>
      <c r="E2588" s="11" t="s">
        <v>4</v>
      </c>
      <c r="F2588" s="12">
        <v>29901</v>
      </c>
      <c r="G2588" s="12">
        <v>29901</v>
      </c>
      <c r="H2588" s="11" t="str">
        <f t="shared" si="84"/>
        <v>平成6年9月14日</v>
      </c>
      <c r="I2588" s="22">
        <f t="shared" si="85"/>
        <v>34591</v>
      </c>
      <c r="J2588" s="1" t="str">
        <f>"00741813"</f>
        <v>00741813</v>
      </c>
      <c r="K2588" s="1" t="str">
        <f>"１４７１　　　　　　　　　　　　　　　　"</f>
        <v>１４７１　　　　　　　　　　　　　　　　</v>
      </c>
      <c r="L2588" s="1"/>
    </row>
    <row r="2589" spans="1:12" ht="18" customHeight="1" x14ac:dyDescent="0.15">
      <c r="A2589" s="11">
        <v>2709</v>
      </c>
      <c r="B2589" s="11" t="s">
        <v>53</v>
      </c>
      <c r="C2589" s="11" t="s">
        <v>164</v>
      </c>
      <c r="D2589" s="11">
        <v>1</v>
      </c>
      <c r="E2589" s="11" t="s">
        <v>4</v>
      </c>
      <c r="F2589" s="12">
        <v>29901</v>
      </c>
      <c r="G2589" s="12">
        <v>29901</v>
      </c>
      <c r="H2589" s="11" t="str">
        <f t="shared" si="84"/>
        <v>平成6年9月14日</v>
      </c>
      <c r="I2589" s="22">
        <f t="shared" si="85"/>
        <v>34591</v>
      </c>
      <c r="J2589" s="1" t="str">
        <f>"00741815"</f>
        <v>00741815</v>
      </c>
      <c r="K2589" s="1" t="str">
        <f>"１４７２　　　　　　　　　　　　　　　　"</f>
        <v>１４７２　　　　　　　　　　　　　　　　</v>
      </c>
      <c r="L2589" s="1"/>
    </row>
    <row r="2590" spans="1:12" ht="18" customHeight="1" x14ac:dyDescent="0.15">
      <c r="A2590" s="11">
        <v>2710</v>
      </c>
      <c r="B2590" s="11" t="s">
        <v>53</v>
      </c>
      <c r="C2590" s="11" t="s">
        <v>164</v>
      </c>
      <c r="D2590" s="11">
        <v>1</v>
      </c>
      <c r="E2590" s="11" t="s">
        <v>4</v>
      </c>
      <c r="F2590" s="12">
        <v>29901</v>
      </c>
      <c r="G2590" s="12">
        <v>29901</v>
      </c>
      <c r="H2590" s="11" t="str">
        <f t="shared" si="84"/>
        <v>平成6年9月14日</v>
      </c>
      <c r="I2590" s="22">
        <f t="shared" si="85"/>
        <v>34591</v>
      </c>
      <c r="J2590" s="1" t="str">
        <f>"00741817"</f>
        <v>00741817</v>
      </c>
      <c r="K2590" s="1" t="str">
        <f>"１４７３　　　　　　　　　　　　　　　　"</f>
        <v>１４７３　　　　　　　　　　　　　　　　</v>
      </c>
      <c r="L2590" s="1"/>
    </row>
    <row r="2591" spans="1:12" ht="18" customHeight="1" x14ac:dyDescent="0.15">
      <c r="A2591" s="11">
        <v>2711</v>
      </c>
      <c r="B2591" s="11" t="s">
        <v>53</v>
      </c>
      <c r="C2591" s="11" t="s">
        <v>164</v>
      </c>
      <c r="D2591" s="11">
        <v>1</v>
      </c>
      <c r="E2591" s="11" t="s">
        <v>4</v>
      </c>
      <c r="F2591" s="12">
        <v>29901</v>
      </c>
      <c r="G2591" s="12">
        <v>29901</v>
      </c>
      <c r="H2591" s="11" t="str">
        <f t="shared" si="84"/>
        <v>平成6年9月14日</v>
      </c>
      <c r="I2591" s="22">
        <f t="shared" si="85"/>
        <v>34591</v>
      </c>
      <c r="J2591" s="1" t="str">
        <f>"00741819"</f>
        <v>00741819</v>
      </c>
      <c r="K2591" s="1" t="str">
        <f>"１４７４　　　　　　　　　　　　　　　　"</f>
        <v>１４７４　　　　　　　　　　　　　　　　</v>
      </c>
      <c r="L2591" s="1"/>
    </row>
    <row r="2592" spans="1:12" ht="18" customHeight="1" x14ac:dyDescent="0.15">
      <c r="A2592" s="11">
        <v>2712</v>
      </c>
      <c r="B2592" s="11" t="s">
        <v>53</v>
      </c>
      <c r="C2592" s="11" t="s">
        <v>164</v>
      </c>
      <c r="D2592" s="11">
        <v>1</v>
      </c>
      <c r="E2592" s="11" t="s">
        <v>4</v>
      </c>
      <c r="F2592" s="12">
        <v>29901</v>
      </c>
      <c r="G2592" s="12">
        <v>29901</v>
      </c>
      <c r="H2592" s="11" t="str">
        <f t="shared" si="84"/>
        <v>平成6年9月14日</v>
      </c>
      <c r="I2592" s="22">
        <f t="shared" si="85"/>
        <v>34591</v>
      </c>
      <c r="J2592" s="1" t="str">
        <f>"00741821"</f>
        <v>00741821</v>
      </c>
      <c r="K2592" s="1" t="str">
        <f>"１４７５　　　　　　　　　　　　　　　　"</f>
        <v>１４７５　　　　　　　　　　　　　　　　</v>
      </c>
      <c r="L2592" s="1"/>
    </row>
    <row r="2593" spans="1:12" ht="18" customHeight="1" x14ac:dyDescent="0.15">
      <c r="A2593" s="11">
        <v>2713</v>
      </c>
      <c r="B2593" s="11" t="s">
        <v>53</v>
      </c>
      <c r="C2593" s="11" t="s">
        <v>164</v>
      </c>
      <c r="D2593" s="11">
        <v>1</v>
      </c>
      <c r="E2593" s="11" t="s">
        <v>4</v>
      </c>
      <c r="F2593" s="12">
        <v>29901</v>
      </c>
      <c r="G2593" s="12">
        <v>29901</v>
      </c>
      <c r="H2593" s="11" t="str">
        <f t="shared" si="84"/>
        <v>平成6年9月14日</v>
      </c>
      <c r="I2593" s="22">
        <f t="shared" si="85"/>
        <v>34591</v>
      </c>
      <c r="J2593" s="1" t="str">
        <f>"00741823"</f>
        <v>00741823</v>
      </c>
      <c r="K2593" s="1" t="str">
        <f>"１４７６　　　　　　　　　　　　　　　　"</f>
        <v>１４７６　　　　　　　　　　　　　　　　</v>
      </c>
      <c r="L2593" s="1"/>
    </row>
    <row r="2594" spans="1:12" ht="18" customHeight="1" x14ac:dyDescent="0.15">
      <c r="A2594" s="11">
        <v>2714</v>
      </c>
      <c r="B2594" s="11" t="s">
        <v>53</v>
      </c>
      <c r="C2594" s="11" t="s">
        <v>164</v>
      </c>
      <c r="D2594" s="11">
        <v>1</v>
      </c>
      <c r="E2594" s="11" t="s">
        <v>4</v>
      </c>
      <c r="F2594" s="12">
        <v>29901</v>
      </c>
      <c r="G2594" s="12">
        <v>29901</v>
      </c>
      <c r="H2594" s="11" t="str">
        <f t="shared" si="84"/>
        <v>平成6年9月14日</v>
      </c>
      <c r="I2594" s="22">
        <f t="shared" si="85"/>
        <v>34591</v>
      </c>
      <c r="J2594" s="1" t="str">
        <f>"00741824"</f>
        <v>00741824</v>
      </c>
      <c r="K2594" s="1" t="str">
        <f>"１４７７　　　　　　　　　　　　　　　　"</f>
        <v>１４７７　　　　　　　　　　　　　　　　</v>
      </c>
      <c r="L2594" s="1"/>
    </row>
    <row r="2595" spans="1:12" ht="18" customHeight="1" x14ac:dyDescent="0.15">
      <c r="A2595" s="11">
        <v>2715</v>
      </c>
      <c r="B2595" s="11" t="s">
        <v>53</v>
      </c>
      <c r="C2595" s="11" t="s">
        <v>164</v>
      </c>
      <c r="D2595" s="11">
        <v>1</v>
      </c>
      <c r="E2595" s="11" t="s">
        <v>4</v>
      </c>
      <c r="F2595" s="12">
        <v>29901</v>
      </c>
      <c r="G2595" s="12">
        <v>29901</v>
      </c>
      <c r="H2595" s="11" t="str">
        <f t="shared" si="84"/>
        <v>平成6年9月14日</v>
      </c>
      <c r="I2595" s="22">
        <f t="shared" si="85"/>
        <v>34591</v>
      </c>
      <c r="J2595" s="1" t="str">
        <f>"00741827"</f>
        <v>00741827</v>
      </c>
      <c r="K2595" s="1" t="str">
        <f>"１４７８　　　　　　　　　　　　　　　　"</f>
        <v>１４７８　　　　　　　　　　　　　　　　</v>
      </c>
      <c r="L2595" s="1"/>
    </row>
    <row r="2596" spans="1:12" ht="18" customHeight="1" x14ac:dyDescent="0.15">
      <c r="A2596" s="11">
        <v>2716</v>
      </c>
      <c r="B2596" s="11" t="s">
        <v>53</v>
      </c>
      <c r="C2596" s="11" t="s">
        <v>164</v>
      </c>
      <c r="D2596" s="11">
        <v>1</v>
      </c>
      <c r="E2596" s="11" t="s">
        <v>4</v>
      </c>
      <c r="F2596" s="12">
        <v>29901</v>
      </c>
      <c r="G2596" s="12">
        <v>29901</v>
      </c>
      <c r="H2596" s="11" t="str">
        <f t="shared" si="84"/>
        <v>平成6年9月14日</v>
      </c>
      <c r="I2596" s="22">
        <f t="shared" si="85"/>
        <v>34591</v>
      </c>
      <c r="J2596" s="1" t="str">
        <f>"00741829"</f>
        <v>00741829</v>
      </c>
      <c r="K2596" s="1" t="str">
        <f>"１４７９　　　　　　　　　　　　　　　　"</f>
        <v>１４７９　　　　　　　　　　　　　　　　</v>
      </c>
      <c r="L2596" s="1"/>
    </row>
    <row r="2597" spans="1:12" ht="18" customHeight="1" x14ac:dyDescent="0.15">
      <c r="A2597" s="11">
        <v>2717</v>
      </c>
      <c r="B2597" s="11" t="s">
        <v>53</v>
      </c>
      <c r="C2597" s="11" t="s">
        <v>164</v>
      </c>
      <c r="D2597" s="11">
        <v>1</v>
      </c>
      <c r="E2597" s="11" t="s">
        <v>4</v>
      </c>
      <c r="F2597" s="12">
        <v>29901</v>
      </c>
      <c r="G2597" s="12">
        <v>29901</v>
      </c>
      <c r="H2597" s="11" t="str">
        <f t="shared" si="84"/>
        <v>平成6年9月14日</v>
      </c>
      <c r="I2597" s="22">
        <f t="shared" si="85"/>
        <v>34591</v>
      </c>
      <c r="J2597" s="1" t="str">
        <f>"00741830"</f>
        <v>00741830</v>
      </c>
      <c r="K2597" s="1" t="str">
        <f>"１４８０　　　　　　　　　　　　　　　　"</f>
        <v>１４８０　　　　　　　　　　　　　　　　</v>
      </c>
      <c r="L2597" s="1"/>
    </row>
    <row r="2598" spans="1:12" ht="18" customHeight="1" x14ac:dyDescent="0.15">
      <c r="A2598" s="11">
        <v>2718</v>
      </c>
      <c r="B2598" s="11" t="s">
        <v>53</v>
      </c>
      <c r="C2598" s="11" t="s">
        <v>164</v>
      </c>
      <c r="D2598" s="11">
        <v>1</v>
      </c>
      <c r="E2598" s="11" t="s">
        <v>4</v>
      </c>
      <c r="F2598" s="12">
        <v>29901</v>
      </c>
      <c r="G2598" s="12">
        <v>29901</v>
      </c>
      <c r="H2598" s="11" t="str">
        <f t="shared" si="84"/>
        <v>平成6年9月14日</v>
      </c>
      <c r="I2598" s="22">
        <f t="shared" si="85"/>
        <v>34591</v>
      </c>
      <c r="J2598" s="1" t="str">
        <f>"00741833"</f>
        <v>00741833</v>
      </c>
      <c r="K2598" s="1" t="str">
        <f>"１４８１　　　　　　　　　　　　　　　　"</f>
        <v>１４８１　　　　　　　　　　　　　　　　</v>
      </c>
      <c r="L2598" s="1"/>
    </row>
    <row r="2599" spans="1:12" ht="18" customHeight="1" x14ac:dyDescent="0.15">
      <c r="A2599" s="11">
        <v>2719</v>
      </c>
      <c r="B2599" s="11" t="s">
        <v>53</v>
      </c>
      <c r="C2599" s="11" t="s">
        <v>164</v>
      </c>
      <c r="D2599" s="11">
        <v>1</v>
      </c>
      <c r="E2599" s="11" t="s">
        <v>4</v>
      </c>
      <c r="F2599" s="12">
        <v>29901</v>
      </c>
      <c r="G2599" s="12">
        <v>29901</v>
      </c>
      <c r="H2599" s="11" t="str">
        <f t="shared" si="84"/>
        <v>平成6年9月14日</v>
      </c>
      <c r="I2599" s="22">
        <f t="shared" si="85"/>
        <v>34591</v>
      </c>
      <c r="J2599" s="1" t="str">
        <f>"00741834"</f>
        <v>00741834</v>
      </c>
      <c r="K2599" s="1" t="str">
        <f>"１４８２　　　　　　　　　　　　　　　　"</f>
        <v>１４８２　　　　　　　　　　　　　　　　</v>
      </c>
      <c r="L2599" s="1"/>
    </row>
    <row r="2600" spans="1:12" ht="18" customHeight="1" x14ac:dyDescent="0.15">
      <c r="A2600" s="11">
        <v>2720</v>
      </c>
      <c r="B2600" s="11" t="s">
        <v>53</v>
      </c>
      <c r="C2600" s="11" t="s">
        <v>164</v>
      </c>
      <c r="D2600" s="11">
        <v>1</v>
      </c>
      <c r="E2600" s="11" t="s">
        <v>4</v>
      </c>
      <c r="F2600" s="12">
        <v>29901</v>
      </c>
      <c r="G2600" s="12">
        <v>29901</v>
      </c>
      <c r="H2600" s="11" t="str">
        <f t="shared" si="84"/>
        <v>平成6年9月14日</v>
      </c>
      <c r="I2600" s="22">
        <f t="shared" si="85"/>
        <v>34591</v>
      </c>
      <c r="J2600" s="1" t="str">
        <f>"00741837"</f>
        <v>00741837</v>
      </c>
      <c r="K2600" s="1" t="str">
        <f>"１４８３　　　　　　　　　　　　　　　　"</f>
        <v>１４８３　　　　　　　　　　　　　　　　</v>
      </c>
      <c r="L2600" s="1"/>
    </row>
    <row r="2601" spans="1:12" ht="18" customHeight="1" x14ac:dyDescent="0.15">
      <c r="A2601" s="11">
        <v>2721</v>
      </c>
      <c r="B2601" s="11" t="s">
        <v>53</v>
      </c>
      <c r="C2601" s="11" t="s">
        <v>164</v>
      </c>
      <c r="D2601" s="11">
        <v>1</v>
      </c>
      <c r="E2601" s="11" t="s">
        <v>4</v>
      </c>
      <c r="F2601" s="12">
        <v>29901</v>
      </c>
      <c r="G2601" s="12">
        <v>29901</v>
      </c>
      <c r="H2601" s="11" t="str">
        <f t="shared" si="84"/>
        <v>平成6年9月14日</v>
      </c>
      <c r="I2601" s="22">
        <f t="shared" si="85"/>
        <v>34591</v>
      </c>
      <c r="J2601" s="1" t="str">
        <f>"00741839"</f>
        <v>00741839</v>
      </c>
      <c r="K2601" s="1" t="str">
        <f>"１４８４　　　　　　　　　　　　　　　　"</f>
        <v>１４８４　　　　　　　　　　　　　　　　</v>
      </c>
      <c r="L2601" s="1"/>
    </row>
    <row r="2602" spans="1:12" ht="18" customHeight="1" x14ac:dyDescent="0.15">
      <c r="A2602" s="11">
        <v>2722</v>
      </c>
      <c r="B2602" s="11" t="s">
        <v>53</v>
      </c>
      <c r="C2602" s="11" t="s">
        <v>164</v>
      </c>
      <c r="D2602" s="11">
        <v>1</v>
      </c>
      <c r="E2602" s="11" t="s">
        <v>4</v>
      </c>
      <c r="F2602" s="12">
        <v>29901</v>
      </c>
      <c r="G2602" s="12">
        <v>29901</v>
      </c>
      <c r="H2602" s="11" t="str">
        <f t="shared" si="84"/>
        <v>平成6年9月14日</v>
      </c>
      <c r="I2602" s="22">
        <f t="shared" si="85"/>
        <v>34591</v>
      </c>
      <c r="J2602" s="1" t="str">
        <f>"00741840"</f>
        <v>00741840</v>
      </c>
      <c r="K2602" s="1" t="str">
        <f>"１４８５　　　　　　　　　　　　　　　　"</f>
        <v>１４８５　　　　　　　　　　　　　　　　</v>
      </c>
      <c r="L2602" s="1"/>
    </row>
    <row r="2603" spans="1:12" ht="18" customHeight="1" x14ac:dyDescent="0.15">
      <c r="A2603" s="11">
        <v>2723</v>
      </c>
      <c r="B2603" s="11" t="s">
        <v>53</v>
      </c>
      <c r="C2603" s="11" t="s">
        <v>164</v>
      </c>
      <c r="D2603" s="11">
        <v>1</v>
      </c>
      <c r="E2603" s="11" t="s">
        <v>4</v>
      </c>
      <c r="F2603" s="12">
        <v>29901</v>
      </c>
      <c r="G2603" s="12">
        <v>29901</v>
      </c>
      <c r="H2603" s="11" t="str">
        <f t="shared" si="84"/>
        <v>平成6年9月14日</v>
      </c>
      <c r="I2603" s="22">
        <f t="shared" si="85"/>
        <v>34591</v>
      </c>
      <c r="J2603" s="1" t="str">
        <f>"00741842"</f>
        <v>00741842</v>
      </c>
      <c r="K2603" s="1" t="str">
        <f>"１４８６　　　　　　　　　　　　　　　　"</f>
        <v>１４８６　　　　　　　　　　　　　　　　</v>
      </c>
      <c r="L2603" s="1"/>
    </row>
    <row r="2604" spans="1:12" ht="18" customHeight="1" x14ac:dyDescent="0.15">
      <c r="A2604" s="11">
        <v>2724</v>
      </c>
      <c r="B2604" s="11" t="s">
        <v>53</v>
      </c>
      <c r="C2604" s="11" t="s">
        <v>164</v>
      </c>
      <c r="D2604" s="11">
        <v>1</v>
      </c>
      <c r="E2604" s="11" t="s">
        <v>4</v>
      </c>
      <c r="F2604" s="12">
        <v>29901</v>
      </c>
      <c r="G2604" s="12">
        <v>29901</v>
      </c>
      <c r="H2604" s="11" t="str">
        <f t="shared" si="84"/>
        <v>平成6年9月14日</v>
      </c>
      <c r="I2604" s="22">
        <f t="shared" si="85"/>
        <v>34591</v>
      </c>
      <c r="J2604" s="1" t="str">
        <f>"00741845"</f>
        <v>00741845</v>
      </c>
      <c r="K2604" s="1" t="str">
        <f>"１４８７　　　　　　　　　　　　　　　　"</f>
        <v>１４８７　　　　　　　　　　　　　　　　</v>
      </c>
      <c r="L2604" s="1"/>
    </row>
    <row r="2605" spans="1:12" ht="18" customHeight="1" x14ac:dyDescent="0.15">
      <c r="A2605" s="11">
        <v>2725</v>
      </c>
      <c r="B2605" s="11" t="s">
        <v>53</v>
      </c>
      <c r="C2605" s="11" t="s">
        <v>164</v>
      </c>
      <c r="D2605" s="11">
        <v>1</v>
      </c>
      <c r="E2605" s="11" t="s">
        <v>4</v>
      </c>
      <c r="F2605" s="12">
        <v>29901</v>
      </c>
      <c r="G2605" s="12">
        <v>29901</v>
      </c>
      <c r="H2605" s="11" t="str">
        <f t="shared" si="84"/>
        <v>平成6年9月14日</v>
      </c>
      <c r="I2605" s="22">
        <f t="shared" si="85"/>
        <v>34591</v>
      </c>
      <c r="J2605" s="1" t="str">
        <f>"00741846"</f>
        <v>00741846</v>
      </c>
      <c r="K2605" s="1" t="str">
        <f>"１４８８　　　　　　　　　　　　　　　　"</f>
        <v>１４８８　　　　　　　　　　　　　　　　</v>
      </c>
      <c r="L2605" s="1"/>
    </row>
    <row r="2606" spans="1:12" ht="18" customHeight="1" x14ac:dyDescent="0.15">
      <c r="A2606" s="11">
        <v>2726</v>
      </c>
      <c r="B2606" s="11" t="s">
        <v>53</v>
      </c>
      <c r="C2606" s="11" t="s">
        <v>164</v>
      </c>
      <c r="D2606" s="11">
        <v>1</v>
      </c>
      <c r="E2606" s="11" t="s">
        <v>4</v>
      </c>
      <c r="F2606" s="12">
        <v>29901</v>
      </c>
      <c r="G2606" s="12">
        <v>29901</v>
      </c>
      <c r="H2606" s="11" t="str">
        <f t="shared" si="84"/>
        <v>平成6年9月14日</v>
      </c>
      <c r="I2606" s="22">
        <f t="shared" si="85"/>
        <v>34591</v>
      </c>
      <c r="J2606" s="1" t="str">
        <f>"00741849"</f>
        <v>00741849</v>
      </c>
      <c r="K2606" s="1" t="str">
        <f>"１４８９　　　　　　　　　　　　　　　　"</f>
        <v>１４８９　　　　　　　　　　　　　　　　</v>
      </c>
      <c r="L2606" s="1"/>
    </row>
    <row r="2607" spans="1:12" ht="18" customHeight="1" x14ac:dyDescent="0.15">
      <c r="A2607" s="11">
        <v>2727</v>
      </c>
      <c r="B2607" s="11" t="s">
        <v>53</v>
      </c>
      <c r="C2607" s="11" t="s">
        <v>164</v>
      </c>
      <c r="D2607" s="11">
        <v>1</v>
      </c>
      <c r="E2607" s="11" t="s">
        <v>4</v>
      </c>
      <c r="F2607" s="12">
        <v>29901</v>
      </c>
      <c r="G2607" s="12">
        <v>29901</v>
      </c>
      <c r="H2607" s="11" t="str">
        <f t="shared" si="84"/>
        <v>平成6年9月14日</v>
      </c>
      <c r="I2607" s="22">
        <f t="shared" si="85"/>
        <v>34591</v>
      </c>
      <c r="J2607" s="1" t="str">
        <f>"00741851"</f>
        <v>00741851</v>
      </c>
      <c r="K2607" s="1" t="str">
        <f>"１４９０　　　　　　　　　　　　　　　　"</f>
        <v>１４９０　　　　　　　　　　　　　　　　</v>
      </c>
      <c r="L2607" s="1"/>
    </row>
    <row r="2608" spans="1:12" ht="18" customHeight="1" x14ac:dyDescent="0.15">
      <c r="A2608" s="11">
        <v>2728</v>
      </c>
      <c r="B2608" s="11" t="s">
        <v>53</v>
      </c>
      <c r="C2608" s="11" t="s">
        <v>164</v>
      </c>
      <c r="D2608" s="11">
        <v>1</v>
      </c>
      <c r="E2608" s="11" t="s">
        <v>4</v>
      </c>
      <c r="F2608" s="12">
        <v>29901</v>
      </c>
      <c r="G2608" s="12">
        <v>29901</v>
      </c>
      <c r="H2608" s="11" t="str">
        <f t="shared" si="84"/>
        <v>平成6年9月14日</v>
      </c>
      <c r="I2608" s="22">
        <f t="shared" si="85"/>
        <v>34591</v>
      </c>
      <c r="J2608" s="1" t="str">
        <f>"00741853"</f>
        <v>00741853</v>
      </c>
      <c r="K2608" s="1" t="str">
        <f>"１４９１　　　　　　　　　　　　　　　　"</f>
        <v>１４９１　　　　　　　　　　　　　　　　</v>
      </c>
      <c r="L2608" s="1"/>
    </row>
    <row r="2609" spans="1:12" ht="18" customHeight="1" x14ac:dyDescent="0.15">
      <c r="A2609" s="11">
        <v>2729</v>
      </c>
      <c r="B2609" s="11" t="s">
        <v>53</v>
      </c>
      <c r="C2609" s="11" t="s">
        <v>164</v>
      </c>
      <c r="D2609" s="11">
        <v>1</v>
      </c>
      <c r="E2609" s="11" t="s">
        <v>4</v>
      </c>
      <c r="F2609" s="12">
        <v>29901</v>
      </c>
      <c r="G2609" s="12">
        <v>29901</v>
      </c>
      <c r="H2609" s="11" t="str">
        <f t="shared" si="84"/>
        <v>平成6年9月14日</v>
      </c>
      <c r="I2609" s="22">
        <f t="shared" si="85"/>
        <v>34591</v>
      </c>
      <c r="J2609" s="1" t="str">
        <f>"00741854"</f>
        <v>00741854</v>
      </c>
      <c r="K2609" s="1" t="str">
        <f>"１４９２　　　　　　　　　　　　　　　　"</f>
        <v>１４９２　　　　　　　　　　　　　　　　</v>
      </c>
      <c r="L2609" s="1"/>
    </row>
    <row r="2610" spans="1:12" ht="18" customHeight="1" x14ac:dyDescent="0.15">
      <c r="A2610" s="11">
        <v>2730</v>
      </c>
      <c r="B2610" s="11" t="s">
        <v>53</v>
      </c>
      <c r="C2610" s="11" t="s">
        <v>164</v>
      </c>
      <c r="D2610" s="11">
        <v>1</v>
      </c>
      <c r="E2610" s="11" t="s">
        <v>4</v>
      </c>
      <c r="F2610" s="12">
        <v>29901</v>
      </c>
      <c r="G2610" s="12">
        <v>29901</v>
      </c>
      <c r="H2610" s="11" t="str">
        <f t="shared" si="84"/>
        <v>平成6年9月14日</v>
      </c>
      <c r="I2610" s="22">
        <f t="shared" si="85"/>
        <v>34591</v>
      </c>
      <c r="J2610" s="1" t="str">
        <f>"00741856"</f>
        <v>00741856</v>
      </c>
      <c r="K2610" s="1" t="str">
        <f>"１４９３　　　　　　　　　　　　　　　　"</f>
        <v>１４９３　　　　　　　　　　　　　　　　</v>
      </c>
      <c r="L2610" s="1"/>
    </row>
    <row r="2611" spans="1:12" ht="18" customHeight="1" x14ac:dyDescent="0.15">
      <c r="A2611" s="11">
        <v>2731</v>
      </c>
      <c r="B2611" s="11" t="s">
        <v>53</v>
      </c>
      <c r="C2611" s="11" t="s">
        <v>164</v>
      </c>
      <c r="D2611" s="11">
        <v>1</v>
      </c>
      <c r="E2611" s="11" t="s">
        <v>4</v>
      </c>
      <c r="F2611" s="12">
        <v>29901</v>
      </c>
      <c r="G2611" s="12">
        <v>29901</v>
      </c>
      <c r="H2611" s="11" t="str">
        <f t="shared" si="84"/>
        <v>平成6年9月14日</v>
      </c>
      <c r="I2611" s="22">
        <f t="shared" si="85"/>
        <v>34591</v>
      </c>
      <c r="J2611" s="1" t="str">
        <f>"00741858"</f>
        <v>00741858</v>
      </c>
      <c r="K2611" s="1" t="str">
        <f>"１４９４　　　　　　　　　　　　　　　　"</f>
        <v>１４９４　　　　　　　　　　　　　　　　</v>
      </c>
      <c r="L2611" s="1"/>
    </row>
    <row r="2612" spans="1:12" ht="18" customHeight="1" x14ac:dyDescent="0.15">
      <c r="A2612" s="11">
        <v>2732</v>
      </c>
      <c r="B2612" s="11" t="s">
        <v>53</v>
      </c>
      <c r="C2612" s="11" t="s">
        <v>164</v>
      </c>
      <c r="D2612" s="11">
        <v>1</v>
      </c>
      <c r="E2612" s="11" t="s">
        <v>4</v>
      </c>
      <c r="F2612" s="12">
        <v>29901</v>
      </c>
      <c r="G2612" s="12">
        <v>29901</v>
      </c>
      <c r="H2612" s="11" t="str">
        <f t="shared" si="84"/>
        <v>平成6年9月14日</v>
      </c>
      <c r="I2612" s="22">
        <f t="shared" si="85"/>
        <v>34591</v>
      </c>
      <c r="J2612" s="1" t="str">
        <f>"00741860"</f>
        <v>00741860</v>
      </c>
      <c r="K2612" s="1" t="str">
        <f>"１４９５　　　　　　　　　　　　　　　　"</f>
        <v>１４９５　　　　　　　　　　　　　　　　</v>
      </c>
      <c r="L2612" s="1"/>
    </row>
    <row r="2613" spans="1:12" ht="18" customHeight="1" x14ac:dyDescent="0.15">
      <c r="A2613" s="11">
        <v>2733</v>
      </c>
      <c r="B2613" s="11" t="s">
        <v>53</v>
      </c>
      <c r="C2613" s="11" t="s">
        <v>164</v>
      </c>
      <c r="D2613" s="11">
        <v>1</v>
      </c>
      <c r="E2613" s="11" t="s">
        <v>4</v>
      </c>
      <c r="F2613" s="12">
        <v>29901</v>
      </c>
      <c r="G2613" s="12">
        <v>29901</v>
      </c>
      <c r="H2613" s="11" t="str">
        <f t="shared" si="84"/>
        <v>平成6年9月14日</v>
      </c>
      <c r="I2613" s="22">
        <f t="shared" si="85"/>
        <v>34591</v>
      </c>
      <c r="J2613" s="1" t="str">
        <f>"00741862"</f>
        <v>00741862</v>
      </c>
      <c r="K2613" s="1" t="str">
        <f>"１４９６　　　　　　　　　　　　　　　　"</f>
        <v>１４９６　　　　　　　　　　　　　　　　</v>
      </c>
      <c r="L2613" s="1"/>
    </row>
    <row r="2614" spans="1:12" ht="18" customHeight="1" x14ac:dyDescent="0.15">
      <c r="A2614" s="11">
        <v>2734</v>
      </c>
      <c r="B2614" s="11" t="s">
        <v>53</v>
      </c>
      <c r="C2614" s="11" t="s">
        <v>164</v>
      </c>
      <c r="D2614" s="11">
        <v>1</v>
      </c>
      <c r="E2614" s="11" t="s">
        <v>4</v>
      </c>
      <c r="F2614" s="12">
        <v>29901</v>
      </c>
      <c r="G2614" s="12">
        <v>29901</v>
      </c>
      <c r="H2614" s="11" t="str">
        <f t="shared" si="84"/>
        <v>平成6年9月14日</v>
      </c>
      <c r="I2614" s="22">
        <f t="shared" si="85"/>
        <v>34591</v>
      </c>
      <c r="J2614" s="1" t="str">
        <f>"00741864"</f>
        <v>00741864</v>
      </c>
      <c r="K2614" s="1" t="str">
        <f>"１４９７　　　　　　　　　　　　　　　　"</f>
        <v>１４９７　　　　　　　　　　　　　　　　</v>
      </c>
      <c r="L2614" s="1"/>
    </row>
    <row r="2615" spans="1:12" ht="18" customHeight="1" x14ac:dyDescent="0.15">
      <c r="A2615" s="11">
        <v>2735</v>
      </c>
      <c r="B2615" s="11" t="s">
        <v>53</v>
      </c>
      <c r="C2615" s="11" t="s">
        <v>164</v>
      </c>
      <c r="D2615" s="11">
        <v>1</v>
      </c>
      <c r="E2615" s="11" t="s">
        <v>4</v>
      </c>
      <c r="F2615" s="12">
        <v>29901</v>
      </c>
      <c r="G2615" s="12">
        <v>29901</v>
      </c>
      <c r="H2615" s="11" t="str">
        <f t="shared" si="84"/>
        <v>平成6年9月14日</v>
      </c>
      <c r="I2615" s="22">
        <f t="shared" si="85"/>
        <v>34591</v>
      </c>
      <c r="J2615" s="1" t="str">
        <f>"00741866"</f>
        <v>00741866</v>
      </c>
      <c r="K2615" s="1" t="str">
        <f>"１４９８　　　　　　　　　　　　　　　　"</f>
        <v>１４９８　　　　　　　　　　　　　　　　</v>
      </c>
      <c r="L2615" s="1"/>
    </row>
    <row r="2616" spans="1:12" ht="18" customHeight="1" x14ac:dyDescent="0.15">
      <c r="A2616" s="11">
        <v>2736</v>
      </c>
      <c r="B2616" s="11" t="s">
        <v>53</v>
      </c>
      <c r="C2616" s="11" t="s">
        <v>164</v>
      </c>
      <c r="D2616" s="11">
        <v>1</v>
      </c>
      <c r="E2616" s="11" t="s">
        <v>4</v>
      </c>
      <c r="F2616" s="12">
        <v>29901</v>
      </c>
      <c r="G2616" s="12">
        <v>29901</v>
      </c>
      <c r="H2616" s="11" t="str">
        <f t="shared" si="84"/>
        <v>平成6年9月14日</v>
      </c>
      <c r="I2616" s="22">
        <f t="shared" si="85"/>
        <v>34591</v>
      </c>
      <c r="J2616" s="1" t="str">
        <f>"00741868"</f>
        <v>00741868</v>
      </c>
      <c r="K2616" s="1" t="str">
        <f>"１４９９　　　　　　　　　　　　　　　　"</f>
        <v>１４９９　　　　　　　　　　　　　　　　</v>
      </c>
      <c r="L2616" s="1"/>
    </row>
    <row r="2617" spans="1:12" ht="18" customHeight="1" x14ac:dyDescent="0.15">
      <c r="A2617" s="11">
        <v>2737</v>
      </c>
      <c r="B2617" s="11" t="s">
        <v>53</v>
      </c>
      <c r="C2617" s="11" t="s">
        <v>164</v>
      </c>
      <c r="D2617" s="11">
        <v>1</v>
      </c>
      <c r="E2617" s="11" t="s">
        <v>4</v>
      </c>
      <c r="F2617" s="12">
        <v>29901</v>
      </c>
      <c r="G2617" s="12">
        <v>29901</v>
      </c>
      <c r="H2617" s="11" t="str">
        <f t="shared" si="84"/>
        <v>平成6年9月14日</v>
      </c>
      <c r="I2617" s="22">
        <f t="shared" si="85"/>
        <v>34591</v>
      </c>
      <c r="J2617" s="1" t="str">
        <f>"00741870"</f>
        <v>00741870</v>
      </c>
      <c r="K2617" s="1" t="str">
        <f>"１５００　　　　　　　　　　　　　　　　"</f>
        <v>１５００　　　　　　　　　　　　　　　　</v>
      </c>
      <c r="L2617" s="1"/>
    </row>
    <row r="2618" spans="1:12" ht="18" customHeight="1" x14ac:dyDescent="0.15">
      <c r="A2618" s="11">
        <v>2738</v>
      </c>
      <c r="B2618" s="11" t="s">
        <v>53</v>
      </c>
      <c r="C2618" s="11" t="s">
        <v>164</v>
      </c>
      <c r="D2618" s="11">
        <v>1</v>
      </c>
      <c r="E2618" s="11" t="s">
        <v>4</v>
      </c>
      <c r="F2618" s="12">
        <v>29901</v>
      </c>
      <c r="G2618" s="12">
        <v>29901</v>
      </c>
      <c r="H2618" s="11" t="str">
        <f t="shared" si="84"/>
        <v>平成6年9月14日</v>
      </c>
      <c r="I2618" s="22">
        <f t="shared" si="85"/>
        <v>34591</v>
      </c>
      <c r="J2618" s="1" t="str">
        <f>"00741872"</f>
        <v>00741872</v>
      </c>
      <c r="K2618" s="1" t="str">
        <f>"１５０１　　　　　　　　　　　　　　　　"</f>
        <v>１５０１　　　　　　　　　　　　　　　　</v>
      </c>
      <c r="L2618" s="1"/>
    </row>
    <row r="2619" spans="1:12" ht="18" customHeight="1" x14ac:dyDescent="0.15">
      <c r="A2619" s="11">
        <v>2739</v>
      </c>
      <c r="B2619" s="11" t="s">
        <v>53</v>
      </c>
      <c r="C2619" s="11" t="s">
        <v>164</v>
      </c>
      <c r="D2619" s="11">
        <v>1</v>
      </c>
      <c r="E2619" s="11" t="s">
        <v>4</v>
      </c>
      <c r="F2619" s="12">
        <v>29901</v>
      </c>
      <c r="G2619" s="12">
        <v>29901</v>
      </c>
      <c r="H2619" s="11" t="str">
        <f t="shared" si="84"/>
        <v>平成6年9月14日</v>
      </c>
      <c r="I2619" s="22">
        <f t="shared" si="85"/>
        <v>34591</v>
      </c>
      <c r="J2619" s="1" t="str">
        <f>"00741874"</f>
        <v>00741874</v>
      </c>
      <c r="K2619" s="1" t="str">
        <f>"１５０２　　　　　　　　　　　　　　　　"</f>
        <v>１５０２　　　　　　　　　　　　　　　　</v>
      </c>
      <c r="L2619" s="1"/>
    </row>
    <row r="2620" spans="1:12" ht="18" customHeight="1" x14ac:dyDescent="0.15">
      <c r="A2620" s="11">
        <v>2740</v>
      </c>
      <c r="B2620" s="11" t="s">
        <v>53</v>
      </c>
      <c r="C2620" s="11" t="s">
        <v>164</v>
      </c>
      <c r="D2620" s="11">
        <v>1</v>
      </c>
      <c r="E2620" s="11" t="s">
        <v>4</v>
      </c>
      <c r="F2620" s="12">
        <v>29901</v>
      </c>
      <c r="G2620" s="12">
        <v>29901</v>
      </c>
      <c r="H2620" s="11" t="str">
        <f t="shared" si="84"/>
        <v>平成6年9月14日</v>
      </c>
      <c r="I2620" s="22">
        <f t="shared" si="85"/>
        <v>34591</v>
      </c>
      <c r="J2620" s="1" t="str">
        <f>"00741876"</f>
        <v>00741876</v>
      </c>
      <c r="K2620" s="1" t="str">
        <f>"１５０３　　　　　　　　　　　　　　　　"</f>
        <v>１５０３　　　　　　　　　　　　　　　　</v>
      </c>
      <c r="L2620" s="1"/>
    </row>
    <row r="2621" spans="1:12" ht="18" customHeight="1" x14ac:dyDescent="0.15">
      <c r="A2621" s="11">
        <v>2741</v>
      </c>
      <c r="B2621" s="11" t="s">
        <v>53</v>
      </c>
      <c r="C2621" s="11" t="s">
        <v>164</v>
      </c>
      <c r="D2621" s="11">
        <v>1</v>
      </c>
      <c r="E2621" s="11" t="s">
        <v>4</v>
      </c>
      <c r="F2621" s="12">
        <v>29901</v>
      </c>
      <c r="G2621" s="12">
        <v>29901</v>
      </c>
      <c r="H2621" s="11" t="str">
        <f t="shared" si="84"/>
        <v>平成6年9月14日</v>
      </c>
      <c r="I2621" s="22">
        <f t="shared" si="85"/>
        <v>34591</v>
      </c>
      <c r="J2621" s="1" t="str">
        <f>"00741878"</f>
        <v>00741878</v>
      </c>
      <c r="K2621" s="1" t="str">
        <f>"１５０４　　　　　　　　　　　　　　　　"</f>
        <v>１５０４　　　　　　　　　　　　　　　　</v>
      </c>
      <c r="L2621" s="1"/>
    </row>
    <row r="2622" spans="1:12" ht="18" customHeight="1" x14ac:dyDescent="0.15">
      <c r="A2622" s="11">
        <v>2742</v>
      </c>
      <c r="B2622" s="11" t="s">
        <v>53</v>
      </c>
      <c r="C2622" s="11" t="s">
        <v>164</v>
      </c>
      <c r="D2622" s="11">
        <v>1</v>
      </c>
      <c r="E2622" s="11" t="s">
        <v>4</v>
      </c>
      <c r="F2622" s="12">
        <v>29901</v>
      </c>
      <c r="G2622" s="12">
        <v>29901</v>
      </c>
      <c r="H2622" s="11" t="str">
        <f t="shared" si="84"/>
        <v>平成6年9月14日</v>
      </c>
      <c r="I2622" s="22">
        <f t="shared" si="85"/>
        <v>34591</v>
      </c>
      <c r="J2622" s="1" t="str">
        <f>"00741880"</f>
        <v>00741880</v>
      </c>
      <c r="K2622" s="1" t="str">
        <f>"１５０５　　　　　　　　　　　　　　　　"</f>
        <v>１５０５　　　　　　　　　　　　　　　　</v>
      </c>
      <c r="L2622" s="1"/>
    </row>
    <row r="2623" spans="1:12" ht="18" customHeight="1" x14ac:dyDescent="0.15">
      <c r="A2623" s="11">
        <v>2743</v>
      </c>
      <c r="B2623" s="11" t="s">
        <v>53</v>
      </c>
      <c r="C2623" s="11" t="s">
        <v>164</v>
      </c>
      <c r="D2623" s="11">
        <v>1</v>
      </c>
      <c r="E2623" s="11" t="s">
        <v>4</v>
      </c>
      <c r="F2623" s="12">
        <v>29901</v>
      </c>
      <c r="G2623" s="12">
        <v>29901</v>
      </c>
      <c r="H2623" s="11" t="str">
        <f t="shared" si="84"/>
        <v>平成6年9月14日</v>
      </c>
      <c r="I2623" s="22">
        <f t="shared" si="85"/>
        <v>34591</v>
      </c>
      <c r="J2623" s="1" t="str">
        <f>"00741882"</f>
        <v>00741882</v>
      </c>
      <c r="K2623" s="1" t="str">
        <f>"１５０６　　　　　　　　　　　　　　　　"</f>
        <v>１５０６　　　　　　　　　　　　　　　　</v>
      </c>
      <c r="L2623" s="1"/>
    </row>
    <row r="2624" spans="1:12" ht="18" customHeight="1" x14ac:dyDescent="0.15">
      <c r="A2624" s="11">
        <v>2744</v>
      </c>
      <c r="B2624" s="11" t="s">
        <v>53</v>
      </c>
      <c r="C2624" s="11" t="s">
        <v>164</v>
      </c>
      <c r="D2624" s="11">
        <v>1</v>
      </c>
      <c r="E2624" s="11" t="s">
        <v>4</v>
      </c>
      <c r="F2624" s="12">
        <v>29901</v>
      </c>
      <c r="G2624" s="12">
        <v>29901</v>
      </c>
      <c r="H2624" s="11" t="str">
        <f t="shared" si="84"/>
        <v>平成6年9月14日</v>
      </c>
      <c r="I2624" s="22">
        <f t="shared" si="85"/>
        <v>34591</v>
      </c>
      <c r="J2624" s="1" t="str">
        <f>"00741884"</f>
        <v>00741884</v>
      </c>
      <c r="K2624" s="1" t="str">
        <f>"１５０７　　　　　　　　　　　　　　　　"</f>
        <v>１５０７　　　　　　　　　　　　　　　　</v>
      </c>
      <c r="L2624" s="1"/>
    </row>
    <row r="2625" spans="1:12" ht="18" customHeight="1" x14ac:dyDescent="0.15">
      <c r="A2625" s="11">
        <v>2745</v>
      </c>
      <c r="B2625" s="11" t="s">
        <v>53</v>
      </c>
      <c r="C2625" s="11" t="s">
        <v>164</v>
      </c>
      <c r="D2625" s="11">
        <v>1</v>
      </c>
      <c r="E2625" s="11" t="s">
        <v>4</v>
      </c>
      <c r="F2625" s="12">
        <v>29901</v>
      </c>
      <c r="G2625" s="12">
        <v>29901</v>
      </c>
      <c r="H2625" s="11" t="str">
        <f t="shared" si="84"/>
        <v>平成6年9月14日</v>
      </c>
      <c r="I2625" s="22">
        <f t="shared" si="85"/>
        <v>34591</v>
      </c>
      <c r="J2625" s="1" t="str">
        <f>"00741886"</f>
        <v>00741886</v>
      </c>
      <c r="K2625" s="1" t="str">
        <f>"１５０８　　　　　　　　　　　　　　　　"</f>
        <v>１５０８　　　　　　　　　　　　　　　　</v>
      </c>
      <c r="L2625" s="1"/>
    </row>
    <row r="2626" spans="1:12" ht="18" customHeight="1" x14ac:dyDescent="0.15">
      <c r="A2626" s="11">
        <v>2746</v>
      </c>
      <c r="B2626" s="11" t="s">
        <v>53</v>
      </c>
      <c r="C2626" s="11" t="s">
        <v>164</v>
      </c>
      <c r="D2626" s="11">
        <v>1</v>
      </c>
      <c r="E2626" s="11" t="s">
        <v>4</v>
      </c>
      <c r="F2626" s="12">
        <v>29901</v>
      </c>
      <c r="G2626" s="12">
        <v>29901</v>
      </c>
      <c r="H2626" s="11" t="str">
        <f t="shared" si="84"/>
        <v>平成6年9月14日</v>
      </c>
      <c r="I2626" s="22">
        <f t="shared" si="85"/>
        <v>34591</v>
      </c>
      <c r="J2626" s="1" t="str">
        <f>"00741888"</f>
        <v>00741888</v>
      </c>
      <c r="K2626" s="1" t="str">
        <f>"１５０９　　　　　　　　　　　　　　　　"</f>
        <v>１５０９　　　　　　　　　　　　　　　　</v>
      </c>
      <c r="L2626" s="1"/>
    </row>
    <row r="2627" spans="1:12" ht="18" customHeight="1" x14ac:dyDescent="0.15">
      <c r="A2627" s="11">
        <v>2747</v>
      </c>
      <c r="B2627" s="11" t="s">
        <v>53</v>
      </c>
      <c r="C2627" s="11" t="s">
        <v>164</v>
      </c>
      <c r="D2627" s="11">
        <v>1</v>
      </c>
      <c r="E2627" s="11" t="s">
        <v>4</v>
      </c>
      <c r="F2627" s="12">
        <v>29901</v>
      </c>
      <c r="G2627" s="12">
        <v>29901</v>
      </c>
      <c r="H2627" s="11" t="str">
        <f t="shared" si="84"/>
        <v>平成6年9月14日</v>
      </c>
      <c r="I2627" s="22">
        <f t="shared" si="85"/>
        <v>34591</v>
      </c>
      <c r="J2627" s="1" t="str">
        <f>"00741890"</f>
        <v>00741890</v>
      </c>
      <c r="K2627" s="1" t="str">
        <f>"１５１０　　　　　　　　　　　　　　　　"</f>
        <v>１５１０　　　　　　　　　　　　　　　　</v>
      </c>
      <c r="L2627" s="1"/>
    </row>
    <row r="2628" spans="1:12" ht="18" customHeight="1" x14ac:dyDescent="0.15">
      <c r="A2628" s="11">
        <v>2748</v>
      </c>
      <c r="B2628" s="11" t="s">
        <v>53</v>
      </c>
      <c r="C2628" s="11" t="s">
        <v>164</v>
      </c>
      <c r="D2628" s="11">
        <v>1</v>
      </c>
      <c r="E2628" s="11" t="s">
        <v>4</v>
      </c>
      <c r="F2628" s="12">
        <v>29901</v>
      </c>
      <c r="G2628" s="12">
        <v>29901</v>
      </c>
      <c r="H2628" s="11" t="str">
        <f t="shared" si="84"/>
        <v>平成6年9月14日</v>
      </c>
      <c r="I2628" s="22">
        <f t="shared" si="85"/>
        <v>34591</v>
      </c>
      <c r="J2628" s="1" t="str">
        <f>"00741892"</f>
        <v>00741892</v>
      </c>
      <c r="K2628" s="1" t="str">
        <f>"１５１１　　　　　　　　　　　　　　　　"</f>
        <v>１５１１　　　　　　　　　　　　　　　　</v>
      </c>
      <c r="L2628" s="1"/>
    </row>
    <row r="2629" spans="1:12" ht="18" customHeight="1" x14ac:dyDescent="0.15">
      <c r="A2629" s="11">
        <v>2749</v>
      </c>
      <c r="B2629" s="11" t="s">
        <v>53</v>
      </c>
      <c r="C2629" s="11" t="s">
        <v>164</v>
      </c>
      <c r="D2629" s="11">
        <v>1</v>
      </c>
      <c r="E2629" s="11" t="s">
        <v>4</v>
      </c>
      <c r="F2629" s="12">
        <v>29901</v>
      </c>
      <c r="G2629" s="12">
        <v>29901</v>
      </c>
      <c r="H2629" s="11" t="str">
        <f t="shared" si="84"/>
        <v>平成6年9月14日</v>
      </c>
      <c r="I2629" s="22">
        <f t="shared" si="85"/>
        <v>34591</v>
      </c>
      <c r="J2629" s="1" t="str">
        <f>"00741894"</f>
        <v>00741894</v>
      </c>
      <c r="K2629" s="1" t="str">
        <f>"１５１２　　　　　　　　　　　　　　　　"</f>
        <v>１５１２　　　　　　　　　　　　　　　　</v>
      </c>
      <c r="L2629" s="1"/>
    </row>
    <row r="2630" spans="1:12" ht="18" customHeight="1" x14ac:dyDescent="0.15">
      <c r="A2630" s="11">
        <v>2750</v>
      </c>
      <c r="B2630" s="11" t="s">
        <v>53</v>
      </c>
      <c r="C2630" s="11" t="s">
        <v>164</v>
      </c>
      <c r="D2630" s="11">
        <v>1</v>
      </c>
      <c r="E2630" s="11" t="s">
        <v>4</v>
      </c>
      <c r="F2630" s="12">
        <v>29901</v>
      </c>
      <c r="G2630" s="12">
        <v>29901</v>
      </c>
      <c r="H2630" s="11" t="str">
        <f t="shared" si="84"/>
        <v>平成6年9月14日</v>
      </c>
      <c r="I2630" s="22">
        <f t="shared" si="85"/>
        <v>34591</v>
      </c>
      <c r="J2630" s="1" t="str">
        <f>"00741896"</f>
        <v>00741896</v>
      </c>
      <c r="K2630" s="1" t="str">
        <f>"１５１３　　　　　　　　　　　　　　　　"</f>
        <v>１５１３　　　　　　　　　　　　　　　　</v>
      </c>
      <c r="L2630" s="1"/>
    </row>
    <row r="2631" spans="1:12" ht="18" customHeight="1" x14ac:dyDescent="0.15">
      <c r="A2631" s="11">
        <v>2751</v>
      </c>
      <c r="B2631" s="11" t="s">
        <v>53</v>
      </c>
      <c r="C2631" s="11" t="s">
        <v>164</v>
      </c>
      <c r="D2631" s="11">
        <v>1</v>
      </c>
      <c r="E2631" s="11" t="s">
        <v>4</v>
      </c>
      <c r="F2631" s="12">
        <v>29901</v>
      </c>
      <c r="G2631" s="12">
        <v>29901</v>
      </c>
      <c r="H2631" s="11" t="str">
        <f t="shared" si="84"/>
        <v>平成6年9月14日</v>
      </c>
      <c r="I2631" s="22">
        <f t="shared" si="85"/>
        <v>34591</v>
      </c>
      <c r="J2631" s="1" t="str">
        <f>"00741899"</f>
        <v>00741899</v>
      </c>
      <c r="K2631" s="1" t="str">
        <f>"１５１４　　　　　　　　　　　　　　　　"</f>
        <v>１５１４　　　　　　　　　　　　　　　　</v>
      </c>
      <c r="L2631" s="1"/>
    </row>
    <row r="2632" spans="1:12" ht="18" customHeight="1" x14ac:dyDescent="0.15">
      <c r="A2632" s="11">
        <v>2752</v>
      </c>
      <c r="B2632" s="11" t="s">
        <v>53</v>
      </c>
      <c r="C2632" s="11" t="s">
        <v>164</v>
      </c>
      <c r="D2632" s="11">
        <v>1</v>
      </c>
      <c r="E2632" s="11" t="s">
        <v>4</v>
      </c>
      <c r="F2632" s="12">
        <v>29901</v>
      </c>
      <c r="G2632" s="12">
        <v>29901</v>
      </c>
      <c r="H2632" s="11" t="str">
        <f t="shared" si="84"/>
        <v>平成6年9月14日</v>
      </c>
      <c r="I2632" s="22">
        <f t="shared" si="85"/>
        <v>34591</v>
      </c>
      <c r="J2632" s="1" t="str">
        <f>"00741901"</f>
        <v>00741901</v>
      </c>
      <c r="K2632" s="1" t="str">
        <f>"１５１５　　　　　　　　　　　　　　　　"</f>
        <v>１５１５　　　　　　　　　　　　　　　　</v>
      </c>
      <c r="L2632" s="1"/>
    </row>
    <row r="2633" spans="1:12" ht="18" customHeight="1" x14ac:dyDescent="0.15">
      <c r="A2633" s="11">
        <v>2753</v>
      </c>
      <c r="B2633" s="11" t="s">
        <v>53</v>
      </c>
      <c r="C2633" s="11" t="s">
        <v>164</v>
      </c>
      <c r="D2633" s="11">
        <v>1</v>
      </c>
      <c r="E2633" s="11" t="s">
        <v>4</v>
      </c>
      <c r="F2633" s="12">
        <v>29901</v>
      </c>
      <c r="G2633" s="12">
        <v>29901</v>
      </c>
      <c r="H2633" s="11" t="str">
        <f t="shared" si="84"/>
        <v>平成6年9月14日</v>
      </c>
      <c r="I2633" s="22">
        <f t="shared" si="85"/>
        <v>34591</v>
      </c>
      <c r="J2633" s="1" t="str">
        <f>"00741903"</f>
        <v>00741903</v>
      </c>
      <c r="K2633" s="1" t="str">
        <f>"１５１６　　　　　　　　　　　　　　　　"</f>
        <v>１５１６　　　　　　　　　　　　　　　　</v>
      </c>
      <c r="L2633" s="1"/>
    </row>
    <row r="2634" spans="1:12" ht="18" customHeight="1" x14ac:dyDescent="0.15">
      <c r="A2634" s="11">
        <v>2754</v>
      </c>
      <c r="B2634" s="11" t="s">
        <v>53</v>
      </c>
      <c r="C2634" s="11" t="s">
        <v>164</v>
      </c>
      <c r="D2634" s="11">
        <v>1</v>
      </c>
      <c r="E2634" s="11" t="s">
        <v>4</v>
      </c>
      <c r="F2634" s="12">
        <v>29901</v>
      </c>
      <c r="G2634" s="12">
        <v>29901</v>
      </c>
      <c r="H2634" s="11" t="str">
        <f t="shared" si="84"/>
        <v>平成6年9月14日</v>
      </c>
      <c r="I2634" s="22">
        <f t="shared" si="85"/>
        <v>34591</v>
      </c>
      <c r="J2634" s="1" t="str">
        <f>"00741905"</f>
        <v>00741905</v>
      </c>
      <c r="K2634" s="1" t="str">
        <f>"１５１７　　　　　　　　　　　　　　　　"</f>
        <v>１５１７　　　　　　　　　　　　　　　　</v>
      </c>
      <c r="L2634" s="1"/>
    </row>
    <row r="2635" spans="1:12" ht="18" customHeight="1" x14ac:dyDescent="0.15">
      <c r="A2635" s="11">
        <v>2755</v>
      </c>
      <c r="B2635" s="11" t="s">
        <v>53</v>
      </c>
      <c r="C2635" s="11" t="s">
        <v>164</v>
      </c>
      <c r="D2635" s="11">
        <v>1</v>
      </c>
      <c r="E2635" s="11" t="s">
        <v>4</v>
      </c>
      <c r="F2635" s="12">
        <v>29901</v>
      </c>
      <c r="G2635" s="12">
        <v>29901</v>
      </c>
      <c r="H2635" s="11" t="str">
        <f t="shared" si="84"/>
        <v>平成6年9月14日</v>
      </c>
      <c r="I2635" s="22">
        <f t="shared" si="85"/>
        <v>34591</v>
      </c>
      <c r="J2635" s="1" t="str">
        <f>"00741907"</f>
        <v>00741907</v>
      </c>
      <c r="K2635" s="1" t="str">
        <f>"１５１８　　　　　　　　　　　　　　　　"</f>
        <v>１５１８　　　　　　　　　　　　　　　　</v>
      </c>
      <c r="L2635" s="1"/>
    </row>
    <row r="2636" spans="1:12" ht="18" customHeight="1" x14ac:dyDescent="0.15">
      <c r="A2636" s="11">
        <v>2756</v>
      </c>
      <c r="B2636" s="11" t="s">
        <v>53</v>
      </c>
      <c r="C2636" s="11" t="s">
        <v>164</v>
      </c>
      <c r="D2636" s="11">
        <v>1</v>
      </c>
      <c r="E2636" s="11" t="s">
        <v>4</v>
      </c>
      <c r="F2636" s="12">
        <v>29901</v>
      </c>
      <c r="G2636" s="12">
        <v>29901</v>
      </c>
      <c r="H2636" s="11" t="str">
        <f t="shared" si="84"/>
        <v>平成6年9月14日</v>
      </c>
      <c r="I2636" s="22">
        <f t="shared" si="85"/>
        <v>34591</v>
      </c>
      <c r="J2636" s="1" t="str">
        <f>"00741909"</f>
        <v>00741909</v>
      </c>
      <c r="K2636" s="1" t="str">
        <f>"１５１９　　　　　　　　　　　　　　　　"</f>
        <v>１５１９　　　　　　　　　　　　　　　　</v>
      </c>
      <c r="L2636" s="1"/>
    </row>
    <row r="2637" spans="1:12" ht="18" customHeight="1" x14ac:dyDescent="0.15">
      <c r="A2637" s="11">
        <v>2757</v>
      </c>
      <c r="B2637" s="11" t="s">
        <v>53</v>
      </c>
      <c r="C2637" s="11" t="s">
        <v>164</v>
      </c>
      <c r="D2637" s="11">
        <v>1</v>
      </c>
      <c r="E2637" s="11" t="s">
        <v>4</v>
      </c>
      <c r="F2637" s="12">
        <v>29901</v>
      </c>
      <c r="G2637" s="12">
        <v>29901</v>
      </c>
      <c r="H2637" s="11" t="str">
        <f t="shared" si="84"/>
        <v>平成6年9月14日</v>
      </c>
      <c r="I2637" s="22">
        <f t="shared" si="85"/>
        <v>34591</v>
      </c>
      <c r="J2637" s="1" t="str">
        <f>"00741911"</f>
        <v>00741911</v>
      </c>
      <c r="K2637" s="1" t="str">
        <f>"１５２０　　　　　　　　　　　　　　　　"</f>
        <v>１５２０　　　　　　　　　　　　　　　　</v>
      </c>
      <c r="L2637" s="1"/>
    </row>
    <row r="2638" spans="1:12" ht="18" customHeight="1" x14ac:dyDescent="0.15">
      <c r="A2638" s="11">
        <v>2758</v>
      </c>
      <c r="B2638" s="11" t="s">
        <v>53</v>
      </c>
      <c r="C2638" s="11" t="s">
        <v>164</v>
      </c>
      <c r="D2638" s="11">
        <v>1</v>
      </c>
      <c r="E2638" s="11" t="s">
        <v>4</v>
      </c>
      <c r="F2638" s="12">
        <v>29901</v>
      </c>
      <c r="G2638" s="12">
        <v>29901</v>
      </c>
      <c r="H2638" s="11" t="str">
        <f t="shared" si="84"/>
        <v>平成6年9月14日</v>
      </c>
      <c r="I2638" s="22">
        <f t="shared" si="85"/>
        <v>34591</v>
      </c>
      <c r="J2638" s="1" t="str">
        <f>"00741913"</f>
        <v>00741913</v>
      </c>
      <c r="K2638" s="1" t="str">
        <f>"１５２１　　　　　　　　　　　　　　　　"</f>
        <v>１５２１　　　　　　　　　　　　　　　　</v>
      </c>
      <c r="L2638" s="1"/>
    </row>
    <row r="2639" spans="1:12" ht="18" customHeight="1" x14ac:dyDescent="0.15">
      <c r="A2639" s="11">
        <v>2759</v>
      </c>
      <c r="B2639" s="11" t="s">
        <v>53</v>
      </c>
      <c r="C2639" s="11" t="s">
        <v>164</v>
      </c>
      <c r="D2639" s="11">
        <v>1</v>
      </c>
      <c r="E2639" s="11" t="s">
        <v>4</v>
      </c>
      <c r="F2639" s="12">
        <v>29901</v>
      </c>
      <c r="G2639" s="12">
        <v>29901</v>
      </c>
      <c r="H2639" s="11" t="str">
        <f t="shared" ref="H2639:H2702" si="86">"平成6年9月14日"</f>
        <v>平成6年9月14日</v>
      </c>
      <c r="I2639" s="22">
        <f t="shared" si="85"/>
        <v>34591</v>
      </c>
      <c r="J2639" s="1" t="str">
        <f>"00741915"</f>
        <v>00741915</v>
      </c>
      <c r="K2639" s="1" t="str">
        <f>"１５２２　　　　　　　　　　　　　　　　"</f>
        <v>１５２２　　　　　　　　　　　　　　　　</v>
      </c>
      <c r="L2639" s="1"/>
    </row>
    <row r="2640" spans="1:12" ht="18" customHeight="1" x14ac:dyDescent="0.15">
      <c r="A2640" s="11">
        <v>2760</v>
      </c>
      <c r="B2640" s="11" t="s">
        <v>53</v>
      </c>
      <c r="C2640" s="11" t="s">
        <v>164</v>
      </c>
      <c r="D2640" s="11">
        <v>1</v>
      </c>
      <c r="E2640" s="11" t="s">
        <v>4</v>
      </c>
      <c r="F2640" s="12">
        <v>29901</v>
      </c>
      <c r="G2640" s="12">
        <v>29901</v>
      </c>
      <c r="H2640" s="11" t="str">
        <f t="shared" si="86"/>
        <v>平成6年9月14日</v>
      </c>
      <c r="I2640" s="22">
        <f t="shared" si="85"/>
        <v>34591</v>
      </c>
      <c r="J2640" s="1" t="str">
        <f>"00741917"</f>
        <v>00741917</v>
      </c>
      <c r="K2640" s="1" t="str">
        <f>"１５２３　　　　　　　　　　　　　　　　"</f>
        <v>１５２３　　　　　　　　　　　　　　　　</v>
      </c>
      <c r="L2640" s="1"/>
    </row>
    <row r="2641" spans="1:12" ht="18" customHeight="1" x14ac:dyDescent="0.15">
      <c r="A2641" s="11">
        <v>2761</v>
      </c>
      <c r="B2641" s="11" t="s">
        <v>53</v>
      </c>
      <c r="C2641" s="11" t="s">
        <v>164</v>
      </c>
      <c r="D2641" s="11">
        <v>1</v>
      </c>
      <c r="E2641" s="11" t="s">
        <v>4</v>
      </c>
      <c r="F2641" s="12">
        <v>29901</v>
      </c>
      <c r="G2641" s="12">
        <v>29901</v>
      </c>
      <c r="H2641" s="11" t="str">
        <f t="shared" si="86"/>
        <v>平成6年9月14日</v>
      </c>
      <c r="I2641" s="22">
        <f t="shared" si="85"/>
        <v>34591</v>
      </c>
      <c r="J2641" s="1" t="str">
        <f>"00741919"</f>
        <v>00741919</v>
      </c>
      <c r="K2641" s="1" t="str">
        <f>"１５２４　　　　　　　　　　　　　　　　"</f>
        <v>１５２４　　　　　　　　　　　　　　　　</v>
      </c>
      <c r="L2641" s="1"/>
    </row>
    <row r="2642" spans="1:12" ht="18" customHeight="1" x14ac:dyDescent="0.15">
      <c r="A2642" s="11">
        <v>2762</v>
      </c>
      <c r="B2642" s="11" t="s">
        <v>53</v>
      </c>
      <c r="C2642" s="11" t="s">
        <v>164</v>
      </c>
      <c r="D2642" s="11">
        <v>1</v>
      </c>
      <c r="E2642" s="11" t="s">
        <v>4</v>
      </c>
      <c r="F2642" s="12">
        <v>29901</v>
      </c>
      <c r="G2642" s="12">
        <v>29901</v>
      </c>
      <c r="H2642" s="11" t="str">
        <f t="shared" si="86"/>
        <v>平成6年9月14日</v>
      </c>
      <c r="I2642" s="22">
        <f t="shared" ref="I2642:I2705" si="87">DATEVALUE(H2642)</f>
        <v>34591</v>
      </c>
      <c r="J2642" s="1" t="str">
        <f>"00741921"</f>
        <v>00741921</v>
      </c>
      <c r="K2642" s="1" t="str">
        <f>"１５２５　　　　　　　　　　　　　　　　"</f>
        <v>１５２５　　　　　　　　　　　　　　　　</v>
      </c>
      <c r="L2642" s="1"/>
    </row>
    <row r="2643" spans="1:12" ht="18" customHeight="1" x14ac:dyDescent="0.15">
      <c r="A2643" s="11">
        <v>2763</v>
      </c>
      <c r="B2643" s="11" t="s">
        <v>53</v>
      </c>
      <c r="C2643" s="11" t="s">
        <v>164</v>
      </c>
      <c r="D2643" s="11">
        <v>1</v>
      </c>
      <c r="E2643" s="11" t="s">
        <v>4</v>
      </c>
      <c r="F2643" s="12">
        <v>29901</v>
      </c>
      <c r="G2643" s="12">
        <v>29901</v>
      </c>
      <c r="H2643" s="11" t="str">
        <f t="shared" si="86"/>
        <v>平成6年9月14日</v>
      </c>
      <c r="I2643" s="22">
        <f t="shared" si="87"/>
        <v>34591</v>
      </c>
      <c r="J2643" s="1" t="str">
        <f>"00741923"</f>
        <v>00741923</v>
      </c>
      <c r="K2643" s="1" t="str">
        <f>"１５２６　　　　　　　　　　　　　　　　"</f>
        <v>１５２６　　　　　　　　　　　　　　　　</v>
      </c>
      <c r="L2643" s="1"/>
    </row>
    <row r="2644" spans="1:12" ht="18" customHeight="1" x14ac:dyDescent="0.15">
      <c r="A2644" s="11">
        <v>2764</v>
      </c>
      <c r="B2644" s="11" t="s">
        <v>53</v>
      </c>
      <c r="C2644" s="11" t="s">
        <v>164</v>
      </c>
      <c r="D2644" s="11">
        <v>1</v>
      </c>
      <c r="E2644" s="11" t="s">
        <v>4</v>
      </c>
      <c r="F2644" s="12">
        <v>29901</v>
      </c>
      <c r="G2644" s="12">
        <v>29901</v>
      </c>
      <c r="H2644" s="11" t="str">
        <f t="shared" si="86"/>
        <v>平成6年9月14日</v>
      </c>
      <c r="I2644" s="22">
        <f t="shared" si="87"/>
        <v>34591</v>
      </c>
      <c r="J2644" s="1" t="str">
        <f>"00741925"</f>
        <v>00741925</v>
      </c>
      <c r="K2644" s="1" t="str">
        <f>"１５２７　　　　　　　　　　　　　　　　"</f>
        <v>１５２７　　　　　　　　　　　　　　　　</v>
      </c>
      <c r="L2644" s="1"/>
    </row>
    <row r="2645" spans="1:12" ht="18" customHeight="1" x14ac:dyDescent="0.15">
      <c r="A2645" s="11">
        <v>2765</v>
      </c>
      <c r="B2645" s="11" t="s">
        <v>53</v>
      </c>
      <c r="C2645" s="11" t="s">
        <v>164</v>
      </c>
      <c r="D2645" s="11">
        <v>1</v>
      </c>
      <c r="E2645" s="11" t="s">
        <v>4</v>
      </c>
      <c r="F2645" s="12">
        <v>29901</v>
      </c>
      <c r="G2645" s="12">
        <v>29901</v>
      </c>
      <c r="H2645" s="11" t="str">
        <f t="shared" si="86"/>
        <v>平成6年9月14日</v>
      </c>
      <c r="I2645" s="22">
        <f t="shared" si="87"/>
        <v>34591</v>
      </c>
      <c r="J2645" s="1" t="str">
        <f>"00741927"</f>
        <v>00741927</v>
      </c>
      <c r="K2645" s="1" t="str">
        <f>"１５２８　　　　　　　　　　　　　　　　"</f>
        <v>１５２８　　　　　　　　　　　　　　　　</v>
      </c>
      <c r="L2645" s="1"/>
    </row>
    <row r="2646" spans="1:12" ht="18" customHeight="1" x14ac:dyDescent="0.15">
      <c r="A2646" s="11">
        <v>2766</v>
      </c>
      <c r="B2646" s="11" t="s">
        <v>53</v>
      </c>
      <c r="C2646" s="11" t="s">
        <v>164</v>
      </c>
      <c r="D2646" s="11">
        <v>1</v>
      </c>
      <c r="E2646" s="11" t="s">
        <v>4</v>
      </c>
      <c r="F2646" s="12">
        <v>29901</v>
      </c>
      <c r="G2646" s="12">
        <v>29901</v>
      </c>
      <c r="H2646" s="11" t="str">
        <f t="shared" si="86"/>
        <v>平成6年9月14日</v>
      </c>
      <c r="I2646" s="22">
        <f t="shared" si="87"/>
        <v>34591</v>
      </c>
      <c r="J2646" s="1" t="str">
        <f>"00741929"</f>
        <v>00741929</v>
      </c>
      <c r="K2646" s="1" t="str">
        <f>"１５２９　　　　　　　　　　　　　　　　"</f>
        <v>１５２９　　　　　　　　　　　　　　　　</v>
      </c>
      <c r="L2646" s="1"/>
    </row>
    <row r="2647" spans="1:12" ht="18" customHeight="1" x14ac:dyDescent="0.15">
      <c r="A2647" s="11">
        <v>2767</v>
      </c>
      <c r="B2647" s="11" t="s">
        <v>53</v>
      </c>
      <c r="C2647" s="11" t="s">
        <v>164</v>
      </c>
      <c r="D2647" s="11">
        <v>1</v>
      </c>
      <c r="E2647" s="11" t="s">
        <v>4</v>
      </c>
      <c r="F2647" s="12">
        <v>29901</v>
      </c>
      <c r="G2647" s="12">
        <v>29901</v>
      </c>
      <c r="H2647" s="11" t="str">
        <f t="shared" si="86"/>
        <v>平成6年9月14日</v>
      </c>
      <c r="I2647" s="22">
        <f t="shared" si="87"/>
        <v>34591</v>
      </c>
      <c r="J2647" s="1" t="str">
        <f>"00741931"</f>
        <v>00741931</v>
      </c>
      <c r="K2647" s="1" t="str">
        <f>"１５３０　　　　　　　　　　　　　　　　"</f>
        <v>１５３０　　　　　　　　　　　　　　　　</v>
      </c>
      <c r="L2647" s="1"/>
    </row>
    <row r="2648" spans="1:12" ht="18" customHeight="1" x14ac:dyDescent="0.15">
      <c r="A2648" s="11">
        <v>2768</v>
      </c>
      <c r="B2648" s="11" t="s">
        <v>53</v>
      </c>
      <c r="C2648" s="11" t="s">
        <v>164</v>
      </c>
      <c r="D2648" s="11">
        <v>1</v>
      </c>
      <c r="E2648" s="11" t="s">
        <v>4</v>
      </c>
      <c r="F2648" s="12">
        <v>29901</v>
      </c>
      <c r="G2648" s="12">
        <v>29901</v>
      </c>
      <c r="H2648" s="11" t="str">
        <f t="shared" si="86"/>
        <v>平成6年9月14日</v>
      </c>
      <c r="I2648" s="22">
        <f t="shared" si="87"/>
        <v>34591</v>
      </c>
      <c r="J2648" s="1" t="str">
        <f>"00741933"</f>
        <v>00741933</v>
      </c>
      <c r="K2648" s="1" t="str">
        <f>"１５３１　　　　　　　　　　　　　　　　"</f>
        <v>１５３１　　　　　　　　　　　　　　　　</v>
      </c>
      <c r="L2648" s="1"/>
    </row>
    <row r="2649" spans="1:12" ht="18" customHeight="1" x14ac:dyDescent="0.15">
      <c r="A2649" s="11">
        <v>2769</v>
      </c>
      <c r="B2649" s="11" t="s">
        <v>53</v>
      </c>
      <c r="C2649" s="11" t="s">
        <v>164</v>
      </c>
      <c r="D2649" s="11">
        <v>1</v>
      </c>
      <c r="E2649" s="11" t="s">
        <v>4</v>
      </c>
      <c r="F2649" s="12">
        <v>29901</v>
      </c>
      <c r="G2649" s="12">
        <v>29901</v>
      </c>
      <c r="H2649" s="11" t="str">
        <f t="shared" si="86"/>
        <v>平成6年9月14日</v>
      </c>
      <c r="I2649" s="22">
        <f t="shared" si="87"/>
        <v>34591</v>
      </c>
      <c r="J2649" s="1" t="str">
        <f>"00741935"</f>
        <v>00741935</v>
      </c>
      <c r="K2649" s="1" t="str">
        <f>"１５３２　　　　　　　　　　　　　　　　"</f>
        <v>１５３２　　　　　　　　　　　　　　　　</v>
      </c>
      <c r="L2649" s="1"/>
    </row>
    <row r="2650" spans="1:12" ht="18" customHeight="1" x14ac:dyDescent="0.15">
      <c r="A2650" s="11">
        <v>2770</v>
      </c>
      <c r="B2650" s="11" t="s">
        <v>53</v>
      </c>
      <c r="C2650" s="11" t="s">
        <v>164</v>
      </c>
      <c r="D2650" s="11">
        <v>1</v>
      </c>
      <c r="E2650" s="11" t="s">
        <v>4</v>
      </c>
      <c r="F2650" s="12">
        <v>29901</v>
      </c>
      <c r="G2650" s="12">
        <v>29901</v>
      </c>
      <c r="H2650" s="11" t="str">
        <f t="shared" si="86"/>
        <v>平成6年9月14日</v>
      </c>
      <c r="I2650" s="22">
        <f t="shared" si="87"/>
        <v>34591</v>
      </c>
      <c r="J2650" s="1" t="str">
        <f>"00741937"</f>
        <v>00741937</v>
      </c>
      <c r="K2650" s="1" t="str">
        <f>"１５３３　　　　　　　　　　　　　　　　"</f>
        <v>１５３３　　　　　　　　　　　　　　　　</v>
      </c>
      <c r="L2650" s="1"/>
    </row>
    <row r="2651" spans="1:12" ht="18" customHeight="1" x14ac:dyDescent="0.15">
      <c r="A2651" s="11">
        <v>2771</v>
      </c>
      <c r="B2651" s="11" t="s">
        <v>53</v>
      </c>
      <c r="C2651" s="11" t="s">
        <v>164</v>
      </c>
      <c r="D2651" s="11">
        <v>1</v>
      </c>
      <c r="E2651" s="11" t="s">
        <v>4</v>
      </c>
      <c r="F2651" s="12">
        <v>29901</v>
      </c>
      <c r="G2651" s="12">
        <v>29901</v>
      </c>
      <c r="H2651" s="11" t="str">
        <f t="shared" si="86"/>
        <v>平成6年9月14日</v>
      </c>
      <c r="I2651" s="22">
        <f t="shared" si="87"/>
        <v>34591</v>
      </c>
      <c r="J2651" s="1" t="str">
        <f>"00741939"</f>
        <v>00741939</v>
      </c>
      <c r="K2651" s="1" t="str">
        <f>"１５３４　　　　　　　　　　　　　　　　"</f>
        <v>１５３４　　　　　　　　　　　　　　　　</v>
      </c>
      <c r="L2651" s="1"/>
    </row>
    <row r="2652" spans="1:12" ht="18" customHeight="1" x14ac:dyDescent="0.15">
      <c r="A2652" s="11">
        <v>2772</v>
      </c>
      <c r="B2652" s="11" t="s">
        <v>53</v>
      </c>
      <c r="C2652" s="11" t="s">
        <v>164</v>
      </c>
      <c r="D2652" s="11">
        <v>1</v>
      </c>
      <c r="E2652" s="11" t="s">
        <v>4</v>
      </c>
      <c r="F2652" s="12">
        <v>29901</v>
      </c>
      <c r="G2652" s="12">
        <v>29901</v>
      </c>
      <c r="H2652" s="11" t="str">
        <f t="shared" si="86"/>
        <v>平成6年9月14日</v>
      </c>
      <c r="I2652" s="22">
        <f t="shared" si="87"/>
        <v>34591</v>
      </c>
      <c r="J2652" s="1" t="str">
        <f>"00741941"</f>
        <v>00741941</v>
      </c>
      <c r="K2652" s="1" t="str">
        <f>"１５３５　　　　　　　　　　　　　　　　"</f>
        <v>１５３５　　　　　　　　　　　　　　　　</v>
      </c>
      <c r="L2652" s="1"/>
    </row>
    <row r="2653" spans="1:12" ht="18" customHeight="1" x14ac:dyDescent="0.15">
      <c r="A2653" s="11">
        <v>2773</v>
      </c>
      <c r="B2653" s="11" t="s">
        <v>53</v>
      </c>
      <c r="C2653" s="11" t="s">
        <v>164</v>
      </c>
      <c r="D2653" s="11">
        <v>1</v>
      </c>
      <c r="E2653" s="11" t="s">
        <v>4</v>
      </c>
      <c r="F2653" s="12">
        <v>29901</v>
      </c>
      <c r="G2653" s="12">
        <v>29901</v>
      </c>
      <c r="H2653" s="11" t="str">
        <f t="shared" si="86"/>
        <v>平成6年9月14日</v>
      </c>
      <c r="I2653" s="22">
        <f t="shared" si="87"/>
        <v>34591</v>
      </c>
      <c r="J2653" s="1" t="str">
        <f>"00741943"</f>
        <v>00741943</v>
      </c>
      <c r="K2653" s="1" t="str">
        <f>"１５３６　　　　　　　　　　　　　　　　"</f>
        <v>１５３６　　　　　　　　　　　　　　　　</v>
      </c>
      <c r="L2653" s="1"/>
    </row>
    <row r="2654" spans="1:12" ht="18" customHeight="1" x14ac:dyDescent="0.15">
      <c r="A2654" s="11">
        <v>2774</v>
      </c>
      <c r="B2654" s="11" t="s">
        <v>53</v>
      </c>
      <c r="C2654" s="11" t="s">
        <v>164</v>
      </c>
      <c r="D2654" s="11">
        <v>1</v>
      </c>
      <c r="E2654" s="11" t="s">
        <v>4</v>
      </c>
      <c r="F2654" s="12">
        <v>29901</v>
      </c>
      <c r="G2654" s="12">
        <v>29901</v>
      </c>
      <c r="H2654" s="11" t="str">
        <f t="shared" si="86"/>
        <v>平成6年9月14日</v>
      </c>
      <c r="I2654" s="22">
        <f t="shared" si="87"/>
        <v>34591</v>
      </c>
      <c r="J2654" s="1" t="str">
        <f>"00741945"</f>
        <v>00741945</v>
      </c>
      <c r="K2654" s="1" t="str">
        <f>"１５３７　　　　　　　　　　　　　　　　"</f>
        <v>１５３７　　　　　　　　　　　　　　　　</v>
      </c>
      <c r="L2654" s="1"/>
    </row>
    <row r="2655" spans="1:12" ht="18" customHeight="1" x14ac:dyDescent="0.15">
      <c r="A2655" s="11">
        <v>2775</v>
      </c>
      <c r="B2655" s="11" t="s">
        <v>53</v>
      </c>
      <c r="C2655" s="11" t="s">
        <v>164</v>
      </c>
      <c r="D2655" s="11">
        <v>1</v>
      </c>
      <c r="E2655" s="11" t="s">
        <v>4</v>
      </c>
      <c r="F2655" s="12">
        <v>29901</v>
      </c>
      <c r="G2655" s="12">
        <v>29901</v>
      </c>
      <c r="H2655" s="11" t="str">
        <f t="shared" si="86"/>
        <v>平成6年9月14日</v>
      </c>
      <c r="I2655" s="22">
        <f t="shared" si="87"/>
        <v>34591</v>
      </c>
      <c r="J2655" s="1" t="str">
        <f>"00741947"</f>
        <v>00741947</v>
      </c>
      <c r="K2655" s="1" t="str">
        <f>"１５３８　　　　　　　　　　　　　　　　"</f>
        <v>１５３８　　　　　　　　　　　　　　　　</v>
      </c>
      <c r="L2655" s="1"/>
    </row>
    <row r="2656" spans="1:12" ht="18" customHeight="1" x14ac:dyDescent="0.15">
      <c r="A2656" s="11">
        <v>2776</v>
      </c>
      <c r="B2656" s="11" t="s">
        <v>53</v>
      </c>
      <c r="C2656" s="11" t="s">
        <v>164</v>
      </c>
      <c r="D2656" s="11">
        <v>1</v>
      </c>
      <c r="E2656" s="11" t="s">
        <v>4</v>
      </c>
      <c r="F2656" s="12">
        <v>29901</v>
      </c>
      <c r="G2656" s="12">
        <v>29901</v>
      </c>
      <c r="H2656" s="11" t="str">
        <f t="shared" si="86"/>
        <v>平成6年9月14日</v>
      </c>
      <c r="I2656" s="22">
        <f t="shared" si="87"/>
        <v>34591</v>
      </c>
      <c r="J2656" s="1" t="str">
        <f>"00741949"</f>
        <v>00741949</v>
      </c>
      <c r="K2656" s="1" t="str">
        <f>"１５３９　　　　　　　　　　　　　　　　"</f>
        <v>１５３９　　　　　　　　　　　　　　　　</v>
      </c>
      <c r="L2656" s="1"/>
    </row>
    <row r="2657" spans="1:12" ht="18" customHeight="1" x14ac:dyDescent="0.15">
      <c r="A2657" s="11">
        <v>2777</v>
      </c>
      <c r="B2657" s="11" t="s">
        <v>53</v>
      </c>
      <c r="C2657" s="11" t="s">
        <v>164</v>
      </c>
      <c r="D2657" s="11">
        <v>1</v>
      </c>
      <c r="E2657" s="11" t="s">
        <v>4</v>
      </c>
      <c r="F2657" s="12">
        <v>29901</v>
      </c>
      <c r="G2657" s="12">
        <v>29901</v>
      </c>
      <c r="H2657" s="11" t="str">
        <f t="shared" si="86"/>
        <v>平成6年9月14日</v>
      </c>
      <c r="I2657" s="22">
        <f t="shared" si="87"/>
        <v>34591</v>
      </c>
      <c r="J2657" s="1" t="str">
        <f>"00741951"</f>
        <v>00741951</v>
      </c>
      <c r="K2657" s="1" t="str">
        <f>"１５４０　　　　　　　　　　　　　　　　"</f>
        <v>１５４０　　　　　　　　　　　　　　　　</v>
      </c>
      <c r="L2657" s="1"/>
    </row>
    <row r="2658" spans="1:12" ht="18" customHeight="1" x14ac:dyDescent="0.15">
      <c r="A2658" s="11">
        <v>2778</v>
      </c>
      <c r="B2658" s="11" t="s">
        <v>53</v>
      </c>
      <c r="C2658" s="11" t="s">
        <v>164</v>
      </c>
      <c r="D2658" s="11">
        <v>1</v>
      </c>
      <c r="E2658" s="11" t="s">
        <v>4</v>
      </c>
      <c r="F2658" s="12">
        <v>29901</v>
      </c>
      <c r="G2658" s="12">
        <v>29901</v>
      </c>
      <c r="H2658" s="11" t="str">
        <f t="shared" si="86"/>
        <v>平成6年9月14日</v>
      </c>
      <c r="I2658" s="22">
        <f t="shared" si="87"/>
        <v>34591</v>
      </c>
      <c r="J2658" s="1" t="str">
        <f>"00741953"</f>
        <v>00741953</v>
      </c>
      <c r="K2658" s="1" t="str">
        <f>"１５４１　　　　　　　　　　　　　　　　"</f>
        <v>１５４１　　　　　　　　　　　　　　　　</v>
      </c>
      <c r="L2658" s="1"/>
    </row>
    <row r="2659" spans="1:12" ht="18" customHeight="1" x14ac:dyDescent="0.15">
      <c r="A2659" s="11">
        <v>2779</v>
      </c>
      <c r="B2659" s="11" t="s">
        <v>53</v>
      </c>
      <c r="C2659" s="11" t="s">
        <v>164</v>
      </c>
      <c r="D2659" s="11">
        <v>1</v>
      </c>
      <c r="E2659" s="11" t="s">
        <v>4</v>
      </c>
      <c r="F2659" s="12">
        <v>29901</v>
      </c>
      <c r="G2659" s="12">
        <v>29901</v>
      </c>
      <c r="H2659" s="11" t="str">
        <f t="shared" si="86"/>
        <v>平成6年9月14日</v>
      </c>
      <c r="I2659" s="22">
        <f t="shared" si="87"/>
        <v>34591</v>
      </c>
      <c r="J2659" s="1" t="str">
        <f>"00741955"</f>
        <v>00741955</v>
      </c>
      <c r="K2659" s="1" t="str">
        <f>"１５４２　　　　　　　　　　　　　　　　"</f>
        <v>１５４２　　　　　　　　　　　　　　　　</v>
      </c>
      <c r="L2659" s="1"/>
    </row>
    <row r="2660" spans="1:12" ht="18" customHeight="1" x14ac:dyDescent="0.15">
      <c r="A2660" s="11">
        <v>2780</v>
      </c>
      <c r="B2660" s="11" t="s">
        <v>53</v>
      </c>
      <c r="C2660" s="11" t="s">
        <v>164</v>
      </c>
      <c r="D2660" s="11">
        <v>1</v>
      </c>
      <c r="E2660" s="11" t="s">
        <v>4</v>
      </c>
      <c r="F2660" s="12">
        <v>29901</v>
      </c>
      <c r="G2660" s="12">
        <v>29901</v>
      </c>
      <c r="H2660" s="11" t="str">
        <f t="shared" si="86"/>
        <v>平成6年9月14日</v>
      </c>
      <c r="I2660" s="22">
        <f t="shared" si="87"/>
        <v>34591</v>
      </c>
      <c r="J2660" s="1" t="str">
        <f>"00741957"</f>
        <v>00741957</v>
      </c>
      <c r="K2660" s="1" t="str">
        <f>"１５４３　　　　　　　　　　　　　　　　"</f>
        <v>１５４３　　　　　　　　　　　　　　　　</v>
      </c>
      <c r="L2660" s="1"/>
    </row>
    <row r="2661" spans="1:12" ht="18" customHeight="1" x14ac:dyDescent="0.15">
      <c r="A2661" s="11">
        <v>2781</v>
      </c>
      <c r="B2661" s="11" t="s">
        <v>53</v>
      </c>
      <c r="C2661" s="11" t="s">
        <v>164</v>
      </c>
      <c r="D2661" s="11">
        <v>1</v>
      </c>
      <c r="E2661" s="11" t="s">
        <v>4</v>
      </c>
      <c r="F2661" s="12">
        <v>29901</v>
      </c>
      <c r="G2661" s="12">
        <v>29901</v>
      </c>
      <c r="H2661" s="11" t="str">
        <f t="shared" si="86"/>
        <v>平成6年9月14日</v>
      </c>
      <c r="I2661" s="22">
        <f t="shared" si="87"/>
        <v>34591</v>
      </c>
      <c r="J2661" s="1" t="str">
        <f>"00741959"</f>
        <v>00741959</v>
      </c>
      <c r="K2661" s="1" t="str">
        <f>"１５４４　　　　　　　　　　　　　　　　"</f>
        <v>１５４４　　　　　　　　　　　　　　　　</v>
      </c>
      <c r="L2661" s="1"/>
    </row>
    <row r="2662" spans="1:12" ht="18" customHeight="1" x14ac:dyDescent="0.15">
      <c r="A2662" s="11">
        <v>2782</v>
      </c>
      <c r="B2662" s="11" t="s">
        <v>53</v>
      </c>
      <c r="C2662" s="11" t="s">
        <v>164</v>
      </c>
      <c r="D2662" s="11">
        <v>1</v>
      </c>
      <c r="E2662" s="11" t="s">
        <v>4</v>
      </c>
      <c r="F2662" s="12">
        <v>29901</v>
      </c>
      <c r="G2662" s="12">
        <v>29901</v>
      </c>
      <c r="H2662" s="11" t="str">
        <f t="shared" si="86"/>
        <v>平成6年9月14日</v>
      </c>
      <c r="I2662" s="22">
        <f t="shared" si="87"/>
        <v>34591</v>
      </c>
      <c r="J2662" s="1" t="str">
        <f>"00741961"</f>
        <v>00741961</v>
      </c>
      <c r="K2662" s="1" t="str">
        <f>"１５４５　　　　　　　　　　　　　　　　"</f>
        <v>１５４５　　　　　　　　　　　　　　　　</v>
      </c>
      <c r="L2662" s="1"/>
    </row>
    <row r="2663" spans="1:12" ht="18" customHeight="1" x14ac:dyDescent="0.15">
      <c r="A2663" s="11">
        <v>2783</v>
      </c>
      <c r="B2663" s="11" t="s">
        <v>53</v>
      </c>
      <c r="C2663" s="11" t="s">
        <v>164</v>
      </c>
      <c r="D2663" s="11">
        <v>1</v>
      </c>
      <c r="E2663" s="11" t="s">
        <v>4</v>
      </c>
      <c r="F2663" s="12">
        <v>29901</v>
      </c>
      <c r="G2663" s="12">
        <v>29901</v>
      </c>
      <c r="H2663" s="11" t="str">
        <f t="shared" si="86"/>
        <v>平成6年9月14日</v>
      </c>
      <c r="I2663" s="22">
        <f t="shared" si="87"/>
        <v>34591</v>
      </c>
      <c r="J2663" s="1" t="str">
        <f>"00741963"</f>
        <v>00741963</v>
      </c>
      <c r="K2663" s="1" t="str">
        <f>"１５４６　　　　　　　　　　　　　　　　"</f>
        <v>１５４６　　　　　　　　　　　　　　　　</v>
      </c>
      <c r="L2663" s="1"/>
    </row>
    <row r="2664" spans="1:12" ht="18" customHeight="1" x14ac:dyDescent="0.15">
      <c r="A2664" s="11">
        <v>2784</v>
      </c>
      <c r="B2664" s="11" t="s">
        <v>53</v>
      </c>
      <c r="C2664" s="11" t="s">
        <v>164</v>
      </c>
      <c r="D2664" s="11">
        <v>1</v>
      </c>
      <c r="E2664" s="11" t="s">
        <v>4</v>
      </c>
      <c r="F2664" s="12">
        <v>29901</v>
      </c>
      <c r="G2664" s="12">
        <v>29901</v>
      </c>
      <c r="H2664" s="11" t="str">
        <f t="shared" si="86"/>
        <v>平成6年9月14日</v>
      </c>
      <c r="I2664" s="22">
        <f t="shared" si="87"/>
        <v>34591</v>
      </c>
      <c r="J2664" s="1" t="str">
        <f>"00741965"</f>
        <v>00741965</v>
      </c>
      <c r="K2664" s="1" t="str">
        <f>"１５４７　　　　　　　　　　　　　　　　"</f>
        <v>１５４７　　　　　　　　　　　　　　　　</v>
      </c>
      <c r="L2664" s="1"/>
    </row>
    <row r="2665" spans="1:12" ht="18" customHeight="1" x14ac:dyDescent="0.15">
      <c r="A2665" s="11">
        <v>2785</v>
      </c>
      <c r="B2665" s="11" t="s">
        <v>53</v>
      </c>
      <c r="C2665" s="11" t="s">
        <v>164</v>
      </c>
      <c r="D2665" s="11">
        <v>1</v>
      </c>
      <c r="E2665" s="11" t="s">
        <v>4</v>
      </c>
      <c r="F2665" s="12">
        <v>29901</v>
      </c>
      <c r="G2665" s="12">
        <v>29901</v>
      </c>
      <c r="H2665" s="11" t="str">
        <f t="shared" si="86"/>
        <v>平成6年9月14日</v>
      </c>
      <c r="I2665" s="22">
        <f t="shared" si="87"/>
        <v>34591</v>
      </c>
      <c r="J2665" s="1" t="str">
        <f>"00741967"</f>
        <v>00741967</v>
      </c>
      <c r="K2665" s="1" t="str">
        <f>"１５４８　　　　　　　　　　　　　　　　"</f>
        <v>１５４８　　　　　　　　　　　　　　　　</v>
      </c>
      <c r="L2665" s="1"/>
    </row>
    <row r="2666" spans="1:12" ht="18" customHeight="1" x14ac:dyDescent="0.15">
      <c r="A2666" s="11">
        <v>2786</v>
      </c>
      <c r="B2666" s="11" t="s">
        <v>53</v>
      </c>
      <c r="C2666" s="11" t="s">
        <v>164</v>
      </c>
      <c r="D2666" s="11">
        <v>1</v>
      </c>
      <c r="E2666" s="11" t="s">
        <v>4</v>
      </c>
      <c r="F2666" s="12">
        <v>29901</v>
      </c>
      <c r="G2666" s="12">
        <v>29901</v>
      </c>
      <c r="H2666" s="11" t="str">
        <f t="shared" si="86"/>
        <v>平成6年9月14日</v>
      </c>
      <c r="I2666" s="22">
        <f t="shared" si="87"/>
        <v>34591</v>
      </c>
      <c r="J2666" s="1" t="str">
        <f>"00741969"</f>
        <v>00741969</v>
      </c>
      <c r="K2666" s="1" t="str">
        <f>"１５４９　　　　　　　　　　　　　　　　"</f>
        <v>１５４９　　　　　　　　　　　　　　　　</v>
      </c>
      <c r="L2666" s="1"/>
    </row>
    <row r="2667" spans="1:12" ht="18" customHeight="1" x14ac:dyDescent="0.15">
      <c r="A2667" s="11">
        <v>2787</v>
      </c>
      <c r="B2667" s="11" t="s">
        <v>53</v>
      </c>
      <c r="C2667" s="11" t="s">
        <v>164</v>
      </c>
      <c r="D2667" s="11">
        <v>1</v>
      </c>
      <c r="E2667" s="11" t="s">
        <v>4</v>
      </c>
      <c r="F2667" s="12">
        <v>29901</v>
      </c>
      <c r="G2667" s="12">
        <v>29901</v>
      </c>
      <c r="H2667" s="11" t="str">
        <f t="shared" si="86"/>
        <v>平成6年9月14日</v>
      </c>
      <c r="I2667" s="22">
        <f t="shared" si="87"/>
        <v>34591</v>
      </c>
      <c r="J2667" s="1" t="str">
        <f>"00741971"</f>
        <v>00741971</v>
      </c>
      <c r="K2667" s="1" t="str">
        <f>"１５５０　　　　　　　　　　　　　　　　"</f>
        <v>１５５０　　　　　　　　　　　　　　　　</v>
      </c>
      <c r="L2667" s="1"/>
    </row>
    <row r="2668" spans="1:12" ht="18" customHeight="1" x14ac:dyDescent="0.15">
      <c r="A2668" s="11">
        <v>2788</v>
      </c>
      <c r="B2668" s="11" t="s">
        <v>53</v>
      </c>
      <c r="C2668" s="11" t="s">
        <v>164</v>
      </c>
      <c r="D2668" s="11">
        <v>1</v>
      </c>
      <c r="E2668" s="11" t="s">
        <v>4</v>
      </c>
      <c r="F2668" s="12">
        <v>29901</v>
      </c>
      <c r="G2668" s="12">
        <v>29901</v>
      </c>
      <c r="H2668" s="11" t="str">
        <f t="shared" si="86"/>
        <v>平成6年9月14日</v>
      </c>
      <c r="I2668" s="22">
        <f t="shared" si="87"/>
        <v>34591</v>
      </c>
      <c r="J2668" s="1" t="str">
        <f>"00741973"</f>
        <v>00741973</v>
      </c>
      <c r="K2668" s="1" t="str">
        <f>"１５５１　　　　　　　　　　　　　　　　"</f>
        <v>１５５１　　　　　　　　　　　　　　　　</v>
      </c>
      <c r="L2668" s="1"/>
    </row>
    <row r="2669" spans="1:12" ht="18" customHeight="1" x14ac:dyDescent="0.15">
      <c r="A2669" s="11">
        <v>2789</v>
      </c>
      <c r="B2669" s="11" t="s">
        <v>53</v>
      </c>
      <c r="C2669" s="11" t="s">
        <v>164</v>
      </c>
      <c r="D2669" s="11">
        <v>1</v>
      </c>
      <c r="E2669" s="11" t="s">
        <v>4</v>
      </c>
      <c r="F2669" s="12">
        <v>29901</v>
      </c>
      <c r="G2669" s="12">
        <v>29901</v>
      </c>
      <c r="H2669" s="11" t="str">
        <f t="shared" si="86"/>
        <v>平成6年9月14日</v>
      </c>
      <c r="I2669" s="22">
        <f t="shared" si="87"/>
        <v>34591</v>
      </c>
      <c r="J2669" s="1" t="str">
        <f>"00741975"</f>
        <v>00741975</v>
      </c>
      <c r="K2669" s="1" t="str">
        <f>"１５５２　　　　　　　　　　　　　　　　"</f>
        <v>１５５２　　　　　　　　　　　　　　　　</v>
      </c>
      <c r="L2669" s="1"/>
    </row>
    <row r="2670" spans="1:12" ht="18" customHeight="1" x14ac:dyDescent="0.15">
      <c r="A2670" s="11">
        <v>2790</v>
      </c>
      <c r="B2670" s="11" t="s">
        <v>53</v>
      </c>
      <c r="C2670" s="11" t="s">
        <v>164</v>
      </c>
      <c r="D2670" s="11">
        <v>1</v>
      </c>
      <c r="E2670" s="11" t="s">
        <v>4</v>
      </c>
      <c r="F2670" s="12">
        <v>29901</v>
      </c>
      <c r="G2670" s="12">
        <v>29901</v>
      </c>
      <c r="H2670" s="11" t="str">
        <f t="shared" si="86"/>
        <v>平成6年9月14日</v>
      </c>
      <c r="I2670" s="22">
        <f t="shared" si="87"/>
        <v>34591</v>
      </c>
      <c r="J2670" s="1" t="str">
        <f>"00741977"</f>
        <v>00741977</v>
      </c>
      <c r="K2670" s="1" t="str">
        <f>"１５５３　　　　　　　　　　　　　　　　"</f>
        <v>１５５３　　　　　　　　　　　　　　　　</v>
      </c>
      <c r="L2670" s="1"/>
    </row>
    <row r="2671" spans="1:12" ht="18" customHeight="1" x14ac:dyDescent="0.15">
      <c r="A2671" s="11">
        <v>2791</v>
      </c>
      <c r="B2671" s="11" t="s">
        <v>53</v>
      </c>
      <c r="C2671" s="11" t="s">
        <v>164</v>
      </c>
      <c r="D2671" s="11">
        <v>1</v>
      </c>
      <c r="E2671" s="11" t="s">
        <v>4</v>
      </c>
      <c r="F2671" s="12">
        <v>29901</v>
      </c>
      <c r="G2671" s="12">
        <v>29901</v>
      </c>
      <c r="H2671" s="11" t="str">
        <f t="shared" si="86"/>
        <v>平成6年9月14日</v>
      </c>
      <c r="I2671" s="22">
        <f t="shared" si="87"/>
        <v>34591</v>
      </c>
      <c r="J2671" s="1" t="str">
        <f>"00741979"</f>
        <v>00741979</v>
      </c>
      <c r="K2671" s="1" t="str">
        <f>"１５５４　　　　　　　　　　　　　　　　"</f>
        <v>１５５４　　　　　　　　　　　　　　　　</v>
      </c>
      <c r="L2671" s="1"/>
    </row>
    <row r="2672" spans="1:12" ht="18" customHeight="1" x14ac:dyDescent="0.15">
      <c r="A2672" s="11">
        <v>2792</v>
      </c>
      <c r="B2672" s="11" t="s">
        <v>53</v>
      </c>
      <c r="C2672" s="11" t="s">
        <v>164</v>
      </c>
      <c r="D2672" s="11">
        <v>1</v>
      </c>
      <c r="E2672" s="11" t="s">
        <v>4</v>
      </c>
      <c r="F2672" s="12">
        <v>29901</v>
      </c>
      <c r="G2672" s="12">
        <v>29901</v>
      </c>
      <c r="H2672" s="11" t="str">
        <f t="shared" si="86"/>
        <v>平成6年9月14日</v>
      </c>
      <c r="I2672" s="22">
        <f t="shared" si="87"/>
        <v>34591</v>
      </c>
      <c r="J2672" s="1" t="str">
        <f>"00741981"</f>
        <v>00741981</v>
      </c>
      <c r="K2672" s="1" t="str">
        <f>"１５５５　　　　　　　　　　　　　　　　"</f>
        <v>１５５５　　　　　　　　　　　　　　　　</v>
      </c>
      <c r="L2672" s="1"/>
    </row>
    <row r="2673" spans="1:12" ht="18" customHeight="1" x14ac:dyDescent="0.15">
      <c r="A2673" s="11">
        <v>2793</v>
      </c>
      <c r="B2673" s="11" t="s">
        <v>53</v>
      </c>
      <c r="C2673" s="11" t="s">
        <v>164</v>
      </c>
      <c r="D2673" s="11">
        <v>1</v>
      </c>
      <c r="E2673" s="11" t="s">
        <v>4</v>
      </c>
      <c r="F2673" s="12">
        <v>29901</v>
      </c>
      <c r="G2673" s="12">
        <v>29901</v>
      </c>
      <c r="H2673" s="11" t="str">
        <f t="shared" si="86"/>
        <v>平成6年9月14日</v>
      </c>
      <c r="I2673" s="22">
        <f t="shared" si="87"/>
        <v>34591</v>
      </c>
      <c r="J2673" s="1" t="str">
        <f>"00741983"</f>
        <v>00741983</v>
      </c>
      <c r="K2673" s="1" t="str">
        <f>"１５５６　　　　　　　　　　　　　　　　"</f>
        <v>１５５６　　　　　　　　　　　　　　　　</v>
      </c>
      <c r="L2673" s="1"/>
    </row>
    <row r="2674" spans="1:12" ht="18" customHeight="1" x14ac:dyDescent="0.15">
      <c r="A2674" s="11">
        <v>2794</v>
      </c>
      <c r="B2674" s="11" t="s">
        <v>53</v>
      </c>
      <c r="C2674" s="11" t="s">
        <v>164</v>
      </c>
      <c r="D2674" s="11">
        <v>1</v>
      </c>
      <c r="E2674" s="11" t="s">
        <v>4</v>
      </c>
      <c r="F2674" s="12">
        <v>29901</v>
      </c>
      <c r="G2674" s="12">
        <v>29901</v>
      </c>
      <c r="H2674" s="11" t="str">
        <f t="shared" si="86"/>
        <v>平成6年9月14日</v>
      </c>
      <c r="I2674" s="22">
        <f t="shared" si="87"/>
        <v>34591</v>
      </c>
      <c r="J2674" s="1" t="str">
        <f>"00741985"</f>
        <v>00741985</v>
      </c>
      <c r="K2674" s="1" t="str">
        <f>"１５５７　　　　　　　　　　　　　　　　"</f>
        <v>１５５７　　　　　　　　　　　　　　　　</v>
      </c>
      <c r="L2674" s="1"/>
    </row>
    <row r="2675" spans="1:12" ht="18" customHeight="1" x14ac:dyDescent="0.15">
      <c r="A2675" s="11">
        <v>2795</v>
      </c>
      <c r="B2675" s="11" t="s">
        <v>53</v>
      </c>
      <c r="C2675" s="11" t="s">
        <v>164</v>
      </c>
      <c r="D2675" s="11">
        <v>1</v>
      </c>
      <c r="E2675" s="11" t="s">
        <v>4</v>
      </c>
      <c r="F2675" s="12">
        <v>29901</v>
      </c>
      <c r="G2675" s="12">
        <v>29901</v>
      </c>
      <c r="H2675" s="11" t="str">
        <f t="shared" si="86"/>
        <v>平成6年9月14日</v>
      </c>
      <c r="I2675" s="22">
        <f t="shared" si="87"/>
        <v>34591</v>
      </c>
      <c r="J2675" s="1" t="str">
        <f>"00741987"</f>
        <v>00741987</v>
      </c>
      <c r="K2675" s="1" t="str">
        <f>"１５５８　　　　　　　　　　　　　　　　"</f>
        <v>１５５８　　　　　　　　　　　　　　　　</v>
      </c>
      <c r="L2675" s="1"/>
    </row>
    <row r="2676" spans="1:12" ht="18" customHeight="1" x14ac:dyDescent="0.15">
      <c r="A2676" s="11">
        <v>2796</v>
      </c>
      <c r="B2676" s="11" t="s">
        <v>53</v>
      </c>
      <c r="C2676" s="11" t="s">
        <v>164</v>
      </c>
      <c r="D2676" s="11">
        <v>1</v>
      </c>
      <c r="E2676" s="11" t="s">
        <v>4</v>
      </c>
      <c r="F2676" s="12">
        <v>29901</v>
      </c>
      <c r="G2676" s="12">
        <v>29901</v>
      </c>
      <c r="H2676" s="11" t="str">
        <f t="shared" si="86"/>
        <v>平成6年9月14日</v>
      </c>
      <c r="I2676" s="22">
        <f t="shared" si="87"/>
        <v>34591</v>
      </c>
      <c r="J2676" s="1" t="str">
        <f>"00741989"</f>
        <v>00741989</v>
      </c>
      <c r="K2676" s="1" t="str">
        <f>"１５５９　　　　　　　　　　　　　　　　"</f>
        <v>１５５９　　　　　　　　　　　　　　　　</v>
      </c>
      <c r="L2676" s="1"/>
    </row>
    <row r="2677" spans="1:12" ht="18" customHeight="1" x14ac:dyDescent="0.15">
      <c r="A2677" s="11">
        <v>2797</v>
      </c>
      <c r="B2677" s="11" t="s">
        <v>53</v>
      </c>
      <c r="C2677" s="11" t="s">
        <v>164</v>
      </c>
      <c r="D2677" s="11">
        <v>1</v>
      </c>
      <c r="E2677" s="11" t="s">
        <v>4</v>
      </c>
      <c r="F2677" s="12">
        <v>29901</v>
      </c>
      <c r="G2677" s="12">
        <v>29901</v>
      </c>
      <c r="H2677" s="11" t="str">
        <f t="shared" si="86"/>
        <v>平成6年9月14日</v>
      </c>
      <c r="I2677" s="22">
        <f t="shared" si="87"/>
        <v>34591</v>
      </c>
      <c r="J2677" s="1" t="str">
        <f>"00741991"</f>
        <v>00741991</v>
      </c>
      <c r="K2677" s="1" t="str">
        <f>"１５６０　　　　　　　　　　　　　　　　"</f>
        <v>１５６０　　　　　　　　　　　　　　　　</v>
      </c>
      <c r="L2677" s="1"/>
    </row>
    <row r="2678" spans="1:12" ht="18" customHeight="1" x14ac:dyDescent="0.15">
      <c r="A2678" s="11">
        <v>2798</v>
      </c>
      <c r="B2678" s="11" t="s">
        <v>53</v>
      </c>
      <c r="C2678" s="11" t="s">
        <v>164</v>
      </c>
      <c r="D2678" s="11">
        <v>1</v>
      </c>
      <c r="E2678" s="11" t="s">
        <v>4</v>
      </c>
      <c r="F2678" s="12">
        <v>29901</v>
      </c>
      <c r="G2678" s="12">
        <v>29901</v>
      </c>
      <c r="H2678" s="11" t="str">
        <f t="shared" si="86"/>
        <v>平成6年9月14日</v>
      </c>
      <c r="I2678" s="22">
        <f t="shared" si="87"/>
        <v>34591</v>
      </c>
      <c r="J2678" s="1" t="str">
        <f>"00741993"</f>
        <v>00741993</v>
      </c>
      <c r="K2678" s="1" t="str">
        <f>"１５６１　　　　　　　　　　　　　　　　"</f>
        <v>１５６１　　　　　　　　　　　　　　　　</v>
      </c>
      <c r="L2678" s="1"/>
    </row>
    <row r="2679" spans="1:12" ht="18" customHeight="1" x14ac:dyDescent="0.15">
      <c r="A2679" s="11">
        <v>2799</v>
      </c>
      <c r="B2679" s="11" t="s">
        <v>53</v>
      </c>
      <c r="C2679" s="11" t="s">
        <v>164</v>
      </c>
      <c r="D2679" s="11">
        <v>1</v>
      </c>
      <c r="E2679" s="11" t="s">
        <v>4</v>
      </c>
      <c r="F2679" s="12">
        <v>29901</v>
      </c>
      <c r="G2679" s="12">
        <v>29901</v>
      </c>
      <c r="H2679" s="11" t="str">
        <f t="shared" si="86"/>
        <v>平成6年9月14日</v>
      </c>
      <c r="I2679" s="22">
        <f t="shared" si="87"/>
        <v>34591</v>
      </c>
      <c r="J2679" s="1" t="str">
        <f>"00741995"</f>
        <v>00741995</v>
      </c>
      <c r="K2679" s="1" t="str">
        <f>"１５６２　　　　　　　　　　　　　　　　"</f>
        <v>１５６２　　　　　　　　　　　　　　　　</v>
      </c>
      <c r="L2679" s="1"/>
    </row>
    <row r="2680" spans="1:12" ht="18" customHeight="1" x14ac:dyDescent="0.15">
      <c r="A2680" s="11">
        <v>2800</v>
      </c>
      <c r="B2680" s="11" t="s">
        <v>53</v>
      </c>
      <c r="C2680" s="11" t="s">
        <v>164</v>
      </c>
      <c r="D2680" s="11">
        <v>1</v>
      </c>
      <c r="E2680" s="11" t="s">
        <v>4</v>
      </c>
      <c r="F2680" s="12">
        <v>29901</v>
      </c>
      <c r="G2680" s="12">
        <v>29901</v>
      </c>
      <c r="H2680" s="11" t="str">
        <f t="shared" si="86"/>
        <v>平成6年9月14日</v>
      </c>
      <c r="I2680" s="22">
        <f t="shared" si="87"/>
        <v>34591</v>
      </c>
      <c r="J2680" s="1" t="str">
        <f>"00741997"</f>
        <v>00741997</v>
      </c>
      <c r="K2680" s="1" t="str">
        <f>"１５６３　　　　　　　　　　　　　　　　"</f>
        <v>１５６３　　　　　　　　　　　　　　　　</v>
      </c>
      <c r="L2680" s="1"/>
    </row>
    <row r="2681" spans="1:12" ht="18" customHeight="1" x14ac:dyDescent="0.15">
      <c r="A2681" s="11">
        <v>2801</v>
      </c>
      <c r="B2681" s="11" t="s">
        <v>53</v>
      </c>
      <c r="C2681" s="11" t="s">
        <v>164</v>
      </c>
      <c r="D2681" s="11">
        <v>1</v>
      </c>
      <c r="E2681" s="11" t="s">
        <v>4</v>
      </c>
      <c r="F2681" s="12">
        <v>29901</v>
      </c>
      <c r="G2681" s="12">
        <v>29901</v>
      </c>
      <c r="H2681" s="11" t="str">
        <f t="shared" si="86"/>
        <v>平成6年9月14日</v>
      </c>
      <c r="I2681" s="22">
        <f t="shared" si="87"/>
        <v>34591</v>
      </c>
      <c r="J2681" s="1" t="str">
        <f>"00741999"</f>
        <v>00741999</v>
      </c>
      <c r="K2681" s="1" t="str">
        <f>"１５６４　　　　　　　　　　　　　　　　"</f>
        <v>１５６４　　　　　　　　　　　　　　　　</v>
      </c>
      <c r="L2681" s="1"/>
    </row>
    <row r="2682" spans="1:12" ht="18" customHeight="1" x14ac:dyDescent="0.15">
      <c r="A2682" s="11">
        <v>2802</v>
      </c>
      <c r="B2682" s="11" t="s">
        <v>53</v>
      </c>
      <c r="C2682" s="11" t="s">
        <v>164</v>
      </c>
      <c r="D2682" s="11">
        <v>1</v>
      </c>
      <c r="E2682" s="11" t="s">
        <v>4</v>
      </c>
      <c r="F2682" s="12">
        <v>29901</v>
      </c>
      <c r="G2682" s="12">
        <v>29901</v>
      </c>
      <c r="H2682" s="11" t="str">
        <f t="shared" si="86"/>
        <v>平成6年9月14日</v>
      </c>
      <c r="I2682" s="22">
        <f t="shared" si="87"/>
        <v>34591</v>
      </c>
      <c r="J2682" s="1" t="str">
        <f>"00742001"</f>
        <v>00742001</v>
      </c>
      <c r="K2682" s="1" t="str">
        <f>"１５６５　　　　　　　　　　　　　　　　"</f>
        <v>１５６５　　　　　　　　　　　　　　　　</v>
      </c>
      <c r="L2682" s="1"/>
    </row>
    <row r="2683" spans="1:12" ht="18" customHeight="1" x14ac:dyDescent="0.15">
      <c r="A2683" s="11">
        <v>2803</v>
      </c>
      <c r="B2683" s="11" t="s">
        <v>53</v>
      </c>
      <c r="C2683" s="11" t="s">
        <v>164</v>
      </c>
      <c r="D2683" s="11">
        <v>1</v>
      </c>
      <c r="E2683" s="11" t="s">
        <v>4</v>
      </c>
      <c r="F2683" s="12">
        <v>29901</v>
      </c>
      <c r="G2683" s="12">
        <v>29901</v>
      </c>
      <c r="H2683" s="11" t="str">
        <f t="shared" si="86"/>
        <v>平成6年9月14日</v>
      </c>
      <c r="I2683" s="22">
        <f t="shared" si="87"/>
        <v>34591</v>
      </c>
      <c r="J2683" s="1" t="str">
        <f>"00742003"</f>
        <v>00742003</v>
      </c>
      <c r="K2683" s="1" t="str">
        <f>"１５６６　　　　　　　　　　　　　　　　"</f>
        <v>１５６６　　　　　　　　　　　　　　　　</v>
      </c>
      <c r="L2683" s="1"/>
    </row>
    <row r="2684" spans="1:12" ht="18" customHeight="1" x14ac:dyDescent="0.15">
      <c r="A2684" s="11">
        <v>2804</v>
      </c>
      <c r="B2684" s="11" t="s">
        <v>53</v>
      </c>
      <c r="C2684" s="11" t="s">
        <v>164</v>
      </c>
      <c r="D2684" s="11">
        <v>1</v>
      </c>
      <c r="E2684" s="11" t="s">
        <v>4</v>
      </c>
      <c r="F2684" s="12">
        <v>29901</v>
      </c>
      <c r="G2684" s="12">
        <v>29901</v>
      </c>
      <c r="H2684" s="11" t="str">
        <f t="shared" si="86"/>
        <v>平成6年9月14日</v>
      </c>
      <c r="I2684" s="22">
        <f t="shared" si="87"/>
        <v>34591</v>
      </c>
      <c r="J2684" s="1" t="str">
        <f>"00742005"</f>
        <v>00742005</v>
      </c>
      <c r="K2684" s="1" t="str">
        <f>"１５６７　　　　　　　　　　　　　　　　"</f>
        <v>１５６７　　　　　　　　　　　　　　　　</v>
      </c>
      <c r="L2684" s="1"/>
    </row>
    <row r="2685" spans="1:12" ht="18" customHeight="1" x14ac:dyDescent="0.15">
      <c r="A2685" s="11">
        <v>2805</v>
      </c>
      <c r="B2685" s="11" t="s">
        <v>53</v>
      </c>
      <c r="C2685" s="11" t="s">
        <v>164</v>
      </c>
      <c r="D2685" s="11">
        <v>1</v>
      </c>
      <c r="E2685" s="11" t="s">
        <v>4</v>
      </c>
      <c r="F2685" s="12">
        <v>29901</v>
      </c>
      <c r="G2685" s="12">
        <v>29901</v>
      </c>
      <c r="H2685" s="11" t="str">
        <f t="shared" si="86"/>
        <v>平成6年9月14日</v>
      </c>
      <c r="I2685" s="22">
        <f t="shared" si="87"/>
        <v>34591</v>
      </c>
      <c r="J2685" s="1" t="str">
        <f>"00742007"</f>
        <v>00742007</v>
      </c>
      <c r="K2685" s="1" t="str">
        <f>"１５６８　　　　　　　　　　　　　　　　"</f>
        <v>１５６８　　　　　　　　　　　　　　　　</v>
      </c>
      <c r="L2685" s="1"/>
    </row>
    <row r="2686" spans="1:12" ht="18" customHeight="1" x14ac:dyDescent="0.15">
      <c r="A2686" s="11">
        <v>2806</v>
      </c>
      <c r="B2686" s="11" t="s">
        <v>53</v>
      </c>
      <c r="C2686" s="11" t="s">
        <v>164</v>
      </c>
      <c r="D2686" s="11">
        <v>1</v>
      </c>
      <c r="E2686" s="11" t="s">
        <v>4</v>
      </c>
      <c r="F2686" s="12">
        <v>29901</v>
      </c>
      <c r="G2686" s="12">
        <v>29901</v>
      </c>
      <c r="H2686" s="11" t="str">
        <f t="shared" si="86"/>
        <v>平成6年9月14日</v>
      </c>
      <c r="I2686" s="22">
        <f t="shared" si="87"/>
        <v>34591</v>
      </c>
      <c r="J2686" s="1" t="str">
        <f>"00742009"</f>
        <v>00742009</v>
      </c>
      <c r="K2686" s="1" t="str">
        <f>"１５６９　　　　　　　　　　　　　　　　"</f>
        <v>１５６９　　　　　　　　　　　　　　　　</v>
      </c>
      <c r="L2686" s="1"/>
    </row>
    <row r="2687" spans="1:12" ht="18" customHeight="1" x14ac:dyDescent="0.15">
      <c r="A2687" s="11">
        <v>2807</v>
      </c>
      <c r="B2687" s="11" t="s">
        <v>53</v>
      </c>
      <c r="C2687" s="11" t="s">
        <v>164</v>
      </c>
      <c r="D2687" s="11">
        <v>1</v>
      </c>
      <c r="E2687" s="11" t="s">
        <v>4</v>
      </c>
      <c r="F2687" s="12">
        <v>29901</v>
      </c>
      <c r="G2687" s="12">
        <v>29901</v>
      </c>
      <c r="H2687" s="11" t="str">
        <f t="shared" si="86"/>
        <v>平成6年9月14日</v>
      </c>
      <c r="I2687" s="22">
        <f t="shared" si="87"/>
        <v>34591</v>
      </c>
      <c r="J2687" s="1" t="str">
        <f>"00742011"</f>
        <v>00742011</v>
      </c>
      <c r="K2687" s="1" t="str">
        <f>"１５７０　　　　　　　　　　　　　　　　"</f>
        <v>１５７０　　　　　　　　　　　　　　　　</v>
      </c>
      <c r="L2687" s="1"/>
    </row>
    <row r="2688" spans="1:12" ht="18" customHeight="1" x14ac:dyDescent="0.15">
      <c r="A2688" s="11">
        <v>2808</v>
      </c>
      <c r="B2688" s="11" t="s">
        <v>53</v>
      </c>
      <c r="C2688" s="11" t="s">
        <v>164</v>
      </c>
      <c r="D2688" s="11">
        <v>1</v>
      </c>
      <c r="E2688" s="11" t="s">
        <v>4</v>
      </c>
      <c r="F2688" s="12">
        <v>29901</v>
      </c>
      <c r="G2688" s="12">
        <v>29901</v>
      </c>
      <c r="H2688" s="11" t="str">
        <f t="shared" si="86"/>
        <v>平成6年9月14日</v>
      </c>
      <c r="I2688" s="22">
        <f t="shared" si="87"/>
        <v>34591</v>
      </c>
      <c r="J2688" s="1" t="str">
        <f>"00742013"</f>
        <v>00742013</v>
      </c>
      <c r="K2688" s="1" t="str">
        <f>"１５７１　　　　　　　　　　　　　　　　"</f>
        <v>１５７１　　　　　　　　　　　　　　　　</v>
      </c>
      <c r="L2688" s="1"/>
    </row>
    <row r="2689" spans="1:12" ht="18" customHeight="1" x14ac:dyDescent="0.15">
      <c r="A2689" s="11">
        <v>2809</v>
      </c>
      <c r="B2689" s="11" t="s">
        <v>53</v>
      </c>
      <c r="C2689" s="11" t="s">
        <v>164</v>
      </c>
      <c r="D2689" s="11">
        <v>1</v>
      </c>
      <c r="E2689" s="11" t="s">
        <v>4</v>
      </c>
      <c r="F2689" s="12">
        <v>29901</v>
      </c>
      <c r="G2689" s="12">
        <v>29901</v>
      </c>
      <c r="H2689" s="11" t="str">
        <f t="shared" si="86"/>
        <v>平成6年9月14日</v>
      </c>
      <c r="I2689" s="22">
        <f t="shared" si="87"/>
        <v>34591</v>
      </c>
      <c r="J2689" s="1" t="str">
        <f>"00742015"</f>
        <v>00742015</v>
      </c>
      <c r="K2689" s="1" t="str">
        <f>"１５７２　　　　　　　　　　　　　　　　"</f>
        <v>１５７２　　　　　　　　　　　　　　　　</v>
      </c>
      <c r="L2689" s="1"/>
    </row>
    <row r="2690" spans="1:12" ht="18" customHeight="1" x14ac:dyDescent="0.15">
      <c r="A2690" s="11">
        <v>2810</v>
      </c>
      <c r="B2690" s="11" t="s">
        <v>53</v>
      </c>
      <c r="C2690" s="11" t="s">
        <v>164</v>
      </c>
      <c r="D2690" s="11">
        <v>1</v>
      </c>
      <c r="E2690" s="11" t="s">
        <v>4</v>
      </c>
      <c r="F2690" s="12">
        <v>29901</v>
      </c>
      <c r="G2690" s="12">
        <v>29901</v>
      </c>
      <c r="H2690" s="11" t="str">
        <f t="shared" si="86"/>
        <v>平成6年9月14日</v>
      </c>
      <c r="I2690" s="22">
        <f t="shared" si="87"/>
        <v>34591</v>
      </c>
      <c r="J2690" s="1" t="str">
        <f>"00742017"</f>
        <v>00742017</v>
      </c>
      <c r="K2690" s="1" t="str">
        <f>"１５７３　　　　　　　　　　　　　　　　"</f>
        <v>１５７３　　　　　　　　　　　　　　　　</v>
      </c>
      <c r="L2690" s="1"/>
    </row>
    <row r="2691" spans="1:12" ht="18" customHeight="1" x14ac:dyDescent="0.15">
      <c r="A2691" s="11">
        <v>2811</v>
      </c>
      <c r="B2691" s="11" t="s">
        <v>53</v>
      </c>
      <c r="C2691" s="11" t="s">
        <v>164</v>
      </c>
      <c r="D2691" s="11">
        <v>1</v>
      </c>
      <c r="E2691" s="11" t="s">
        <v>4</v>
      </c>
      <c r="F2691" s="12">
        <v>29901</v>
      </c>
      <c r="G2691" s="12">
        <v>29901</v>
      </c>
      <c r="H2691" s="11" t="str">
        <f t="shared" si="86"/>
        <v>平成6年9月14日</v>
      </c>
      <c r="I2691" s="22">
        <f t="shared" si="87"/>
        <v>34591</v>
      </c>
      <c r="J2691" s="1" t="str">
        <f>"00742019"</f>
        <v>00742019</v>
      </c>
      <c r="K2691" s="1" t="str">
        <f>"１５７４　　　　　　　　　　　　　　　　"</f>
        <v>１５７４　　　　　　　　　　　　　　　　</v>
      </c>
      <c r="L2691" s="1"/>
    </row>
    <row r="2692" spans="1:12" ht="18" customHeight="1" x14ac:dyDescent="0.15">
      <c r="A2692" s="11">
        <v>2812</v>
      </c>
      <c r="B2692" s="11" t="s">
        <v>53</v>
      </c>
      <c r="C2692" s="11" t="s">
        <v>164</v>
      </c>
      <c r="D2692" s="11">
        <v>1</v>
      </c>
      <c r="E2692" s="11" t="s">
        <v>4</v>
      </c>
      <c r="F2692" s="12">
        <v>29901</v>
      </c>
      <c r="G2692" s="12">
        <v>29901</v>
      </c>
      <c r="H2692" s="11" t="str">
        <f t="shared" si="86"/>
        <v>平成6年9月14日</v>
      </c>
      <c r="I2692" s="22">
        <f t="shared" si="87"/>
        <v>34591</v>
      </c>
      <c r="J2692" s="1" t="str">
        <f>"00742021"</f>
        <v>00742021</v>
      </c>
      <c r="K2692" s="1" t="str">
        <f>"１５７５　　　　　　　　　　　　　　　　"</f>
        <v>１５７５　　　　　　　　　　　　　　　　</v>
      </c>
      <c r="L2692" s="1"/>
    </row>
    <row r="2693" spans="1:12" ht="18" customHeight="1" x14ac:dyDescent="0.15">
      <c r="A2693" s="11">
        <v>2813</v>
      </c>
      <c r="B2693" s="11" t="s">
        <v>53</v>
      </c>
      <c r="C2693" s="11" t="s">
        <v>164</v>
      </c>
      <c r="D2693" s="11">
        <v>1</v>
      </c>
      <c r="E2693" s="11" t="s">
        <v>4</v>
      </c>
      <c r="F2693" s="12">
        <v>29901</v>
      </c>
      <c r="G2693" s="12">
        <v>29901</v>
      </c>
      <c r="H2693" s="11" t="str">
        <f t="shared" si="86"/>
        <v>平成6年9月14日</v>
      </c>
      <c r="I2693" s="22">
        <f t="shared" si="87"/>
        <v>34591</v>
      </c>
      <c r="J2693" s="1" t="str">
        <f>"00742023"</f>
        <v>00742023</v>
      </c>
      <c r="K2693" s="1" t="str">
        <f>"１５７６　　　　　　　　　　　　　　　　"</f>
        <v>１５７６　　　　　　　　　　　　　　　　</v>
      </c>
      <c r="L2693" s="1"/>
    </row>
    <row r="2694" spans="1:12" ht="18" customHeight="1" x14ac:dyDescent="0.15">
      <c r="A2694" s="11">
        <v>2814</v>
      </c>
      <c r="B2694" s="11" t="s">
        <v>53</v>
      </c>
      <c r="C2694" s="11" t="s">
        <v>164</v>
      </c>
      <c r="D2694" s="11">
        <v>1</v>
      </c>
      <c r="E2694" s="11" t="s">
        <v>4</v>
      </c>
      <c r="F2694" s="12">
        <v>29901</v>
      </c>
      <c r="G2694" s="12">
        <v>29901</v>
      </c>
      <c r="H2694" s="11" t="str">
        <f t="shared" si="86"/>
        <v>平成6年9月14日</v>
      </c>
      <c r="I2694" s="22">
        <f t="shared" si="87"/>
        <v>34591</v>
      </c>
      <c r="J2694" s="1" t="str">
        <f>"00742025"</f>
        <v>00742025</v>
      </c>
      <c r="K2694" s="1" t="str">
        <f>"１５７７　　　　　　　　　　　　　　　　"</f>
        <v>１５７７　　　　　　　　　　　　　　　　</v>
      </c>
      <c r="L2694" s="1"/>
    </row>
    <row r="2695" spans="1:12" ht="18" customHeight="1" x14ac:dyDescent="0.15">
      <c r="A2695" s="11">
        <v>2815</v>
      </c>
      <c r="B2695" s="11" t="s">
        <v>53</v>
      </c>
      <c r="C2695" s="11" t="s">
        <v>164</v>
      </c>
      <c r="D2695" s="11">
        <v>1</v>
      </c>
      <c r="E2695" s="11" t="s">
        <v>4</v>
      </c>
      <c r="F2695" s="12">
        <v>29901</v>
      </c>
      <c r="G2695" s="12">
        <v>29901</v>
      </c>
      <c r="H2695" s="11" t="str">
        <f t="shared" si="86"/>
        <v>平成6年9月14日</v>
      </c>
      <c r="I2695" s="22">
        <f t="shared" si="87"/>
        <v>34591</v>
      </c>
      <c r="J2695" s="1" t="str">
        <f>"00742027"</f>
        <v>00742027</v>
      </c>
      <c r="K2695" s="1" t="str">
        <f>"１５７８　　　　　　　　　　　　　　　　"</f>
        <v>１５７８　　　　　　　　　　　　　　　　</v>
      </c>
      <c r="L2695" s="1"/>
    </row>
    <row r="2696" spans="1:12" ht="18" customHeight="1" x14ac:dyDescent="0.15">
      <c r="A2696" s="11">
        <v>2816</v>
      </c>
      <c r="B2696" s="11" t="s">
        <v>53</v>
      </c>
      <c r="C2696" s="11" t="s">
        <v>164</v>
      </c>
      <c r="D2696" s="11">
        <v>1</v>
      </c>
      <c r="E2696" s="11" t="s">
        <v>4</v>
      </c>
      <c r="F2696" s="12">
        <v>29901</v>
      </c>
      <c r="G2696" s="12">
        <v>29901</v>
      </c>
      <c r="H2696" s="11" t="str">
        <f t="shared" si="86"/>
        <v>平成6年9月14日</v>
      </c>
      <c r="I2696" s="22">
        <f t="shared" si="87"/>
        <v>34591</v>
      </c>
      <c r="J2696" s="1" t="str">
        <f>"00742029"</f>
        <v>00742029</v>
      </c>
      <c r="K2696" s="1" t="str">
        <f>"１５７９　　　　　　　　　　　　　　　　"</f>
        <v>１５７９　　　　　　　　　　　　　　　　</v>
      </c>
      <c r="L2696" s="1"/>
    </row>
    <row r="2697" spans="1:12" ht="18" customHeight="1" x14ac:dyDescent="0.15">
      <c r="A2697" s="11">
        <v>2817</v>
      </c>
      <c r="B2697" s="11" t="s">
        <v>53</v>
      </c>
      <c r="C2697" s="11" t="s">
        <v>164</v>
      </c>
      <c r="D2697" s="11">
        <v>1</v>
      </c>
      <c r="E2697" s="11" t="s">
        <v>4</v>
      </c>
      <c r="F2697" s="12">
        <v>29901</v>
      </c>
      <c r="G2697" s="12">
        <v>29901</v>
      </c>
      <c r="H2697" s="11" t="str">
        <f t="shared" si="86"/>
        <v>平成6年9月14日</v>
      </c>
      <c r="I2697" s="22">
        <f t="shared" si="87"/>
        <v>34591</v>
      </c>
      <c r="J2697" s="1" t="str">
        <f>"00742031"</f>
        <v>00742031</v>
      </c>
      <c r="K2697" s="1" t="str">
        <f>"１５８０　　　　　　　　　　　　　　　　"</f>
        <v>１５８０　　　　　　　　　　　　　　　　</v>
      </c>
      <c r="L2697" s="1"/>
    </row>
    <row r="2698" spans="1:12" ht="18" customHeight="1" x14ac:dyDescent="0.15">
      <c r="A2698" s="11">
        <v>2818</v>
      </c>
      <c r="B2698" s="11" t="s">
        <v>53</v>
      </c>
      <c r="C2698" s="11" t="s">
        <v>164</v>
      </c>
      <c r="D2698" s="11">
        <v>1</v>
      </c>
      <c r="E2698" s="11" t="s">
        <v>4</v>
      </c>
      <c r="F2698" s="12">
        <v>29901</v>
      </c>
      <c r="G2698" s="12">
        <v>29901</v>
      </c>
      <c r="H2698" s="11" t="str">
        <f t="shared" si="86"/>
        <v>平成6年9月14日</v>
      </c>
      <c r="I2698" s="22">
        <f t="shared" si="87"/>
        <v>34591</v>
      </c>
      <c r="J2698" s="1" t="str">
        <f>"00742033"</f>
        <v>00742033</v>
      </c>
      <c r="K2698" s="1" t="str">
        <f>"１５８１　　　　　　　　　　　　　　　　"</f>
        <v>１５８１　　　　　　　　　　　　　　　　</v>
      </c>
      <c r="L2698" s="1"/>
    </row>
    <row r="2699" spans="1:12" ht="18" customHeight="1" x14ac:dyDescent="0.15">
      <c r="A2699" s="11">
        <v>2819</v>
      </c>
      <c r="B2699" s="11" t="s">
        <v>53</v>
      </c>
      <c r="C2699" s="11" t="s">
        <v>164</v>
      </c>
      <c r="D2699" s="11">
        <v>1</v>
      </c>
      <c r="E2699" s="11" t="s">
        <v>4</v>
      </c>
      <c r="F2699" s="12">
        <v>29901</v>
      </c>
      <c r="G2699" s="12">
        <v>29901</v>
      </c>
      <c r="H2699" s="11" t="str">
        <f t="shared" si="86"/>
        <v>平成6年9月14日</v>
      </c>
      <c r="I2699" s="22">
        <f t="shared" si="87"/>
        <v>34591</v>
      </c>
      <c r="J2699" s="1" t="str">
        <f>"00742035"</f>
        <v>00742035</v>
      </c>
      <c r="K2699" s="1" t="str">
        <f>"１５８２　　　　　　　　　　　　　　　　"</f>
        <v>１５８２　　　　　　　　　　　　　　　　</v>
      </c>
      <c r="L2699" s="1"/>
    </row>
    <row r="2700" spans="1:12" ht="18" customHeight="1" x14ac:dyDescent="0.15">
      <c r="A2700" s="11">
        <v>2820</v>
      </c>
      <c r="B2700" s="11" t="s">
        <v>53</v>
      </c>
      <c r="C2700" s="11" t="s">
        <v>164</v>
      </c>
      <c r="D2700" s="11">
        <v>1</v>
      </c>
      <c r="E2700" s="11" t="s">
        <v>4</v>
      </c>
      <c r="F2700" s="12">
        <v>29901</v>
      </c>
      <c r="G2700" s="12">
        <v>29901</v>
      </c>
      <c r="H2700" s="11" t="str">
        <f t="shared" si="86"/>
        <v>平成6年9月14日</v>
      </c>
      <c r="I2700" s="22">
        <f t="shared" si="87"/>
        <v>34591</v>
      </c>
      <c r="J2700" s="1" t="str">
        <f>"00742037"</f>
        <v>00742037</v>
      </c>
      <c r="K2700" s="1" t="str">
        <f>"１５８３　　　　　　　　　　　　　　　　"</f>
        <v>１５８３　　　　　　　　　　　　　　　　</v>
      </c>
      <c r="L2700" s="1"/>
    </row>
    <row r="2701" spans="1:12" ht="18" customHeight="1" x14ac:dyDescent="0.15">
      <c r="A2701" s="11">
        <v>2821</v>
      </c>
      <c r="B2701" s="11" t="s">
        <v>53</v>
      </c>
      <c r="C2701" s="11" t="s">
        <v>164</v>
      </c>
      <c r="D2701" s="11">
        <v>1</v>
      </c>
      <c r="E2701" s="11" t="s">
        <v>4</v>
      </c>
      <c r="F2701" s="12">
        <v>29901</v>
      </c>
      <c r="G2701" s="12">
        <v>29901</v>
      </c>
      <c r="H2701" s="11" t="str">
        <f t="shared" si="86"/>
        <v>平成6年9月14日</v>
      </c>
      <c r="I2701" s="22">
        <f t="shared" si="87"/>
        <v>34591</v>
      </c>
      <c r="J2701" s="1" t="str">
        <f>"00742039"</f>
        <v>00742039</v>
      </c>
      <c r="K2701" s="1" t="str">
        <f>"１５８４　　　　　　　　　　　　　　　　"</f>
        <v>１５８４　　　　　　　　　　　　　　　　</v>
      </c>
      <c r="L2701" s="1"/>
    </row>
    <row r="2702" spans="1:12" ht="18" customHeight="1" x14ac:dyDescent="0.15">
      <c r="A2702" s="11">
        <v>2822</v>
      </c>
      <c r="B2702" s="11" t="s">
        <v>53</v>
      </c>
      <c r="C2702" s="11" t="s">
        <v>164</v>
      </c>
      <c r="D2702" s="11">
        <v>1</v>
      </c>
      <c r="E2702" s="11" t="s">
        <v>4</v>
      </c>
      <c r="F2702" s="12">
        <v>29901</v>
      </c>
      <c r="G2702" s="12">
        <v>29901</v>
      </c>
      <c r="H2702" s="11" t="str">
        <f t="shared" si="86"/>
        <v>平成6年9月14日</v>
      </c>
      <c r="I2702" s="22">
        <f t="shared" si="87"/>
        <v>34591</v>
      </c>
      <c r="J2702" s="1" t="str">
        <f>"00742041"</f>
        <v>00742041</v>
      </c>
      <c r="K2702" s="1" t="str">
        <f>"１５８５　　　　　　　　　　　　　　　　"</f>
        <v>１５８５　　　　　　　　　　　　　　　　</v>
      </c>
      <c r="L2702" s="1"/>
    </row>
    <row r="2703" spans="1:12" ht="18" customHeight="1" x14ac:dyDescent="0.15">
      <c r="A2703" s="11">
        <v>2823</v>
      </c>
      <c r="B2703" s="11" t="s">
        <v>53</v>
      </c>
      <c r="C2703" s="11" t="s">
        <v>164</v>
      </c>
      <c r="D2703" s="11">
        <v>1</v>
      </c>
      <c r="E2703" s="11" t="s">
        <v>4</v>
      </c>
      <c r="F2703" s="12">
        <v>29901</v>
      </c>
      <c r="G2703" s="12">
        <v>29901</v>
      </c>
      <c r="H2703" s="11" t="str">
        <f t="shared" ref="H2703:H2766" si="88">"平成6年9月14日"</f>
        <v>平成6年9月14日</v>
      </c>
      <c r="I2703" s="22">
        <f t="shared" si="87"/>
        <v>34591</v>
      </c>
      <c r="J2703" s="1" t="str">
        <f>"00742043"</f>
        <v>00742043</v>
      </c>
      <c r="K2703" s="1" t="str">
        <f>"１５８６　　　　　　　　　　　　　　　　"</f>
        <v>１５８６　　　　　　　　　　　　　　　　</v>
      </c>
      <c r="L2703" s="1"/>
    </row>
    <row r="2704" spans="1:12" ht="18" customHeight="1" x14ac:dyDescent="0.15">
      <c r="A2704" s="11">
        <v>2824</v>
      </c>
      <c r="B2704" s="11" t="s">
        <v>53</v>
      </c>
      <c r="C2704" s="11" t="s">
        <v>164</v>
      </c>
      <c r="D2704" s="11">
        <v>1</v>
      </c>
      <c r="E2704" s="11" t="s">
        <v>4</v>
      </c>
      <c r="F2704" s="12">
        <v>29901</v>
      </c>
      <c r="G2704" s="12">
        <v>29901</v>
      </c>
      <c r="H2704" s="11" t="str">
        <f t="shared" si="88"/>
        <v>平成6年9月14日</v>
      </c>
      <c r="I2704" s="22">
        <f t="shared" si="87"/>
        <v>34591</v>
      </c>
      <c r="J2704" s="1" t="str">
        <f>"00742045"</f>
        <v>00742045</v>
      </c>
      <c r="K2704" s="1" t="str">
        <f>"１５８７　　　　　　　　　　　　　　　　"</f>
        <v>１５８７　　　　　　　　　　　　　　　　</v>
      </c>
      <c r="L2704" s="1"/>
    </row>
    <row r="2705" spans="1:12" ht="18" customHeight="1" x14ac:dyDescent="0.15">
      <c r="A2705" s="11">
        <v>2825</v>
      </c>
      <c r="B2705" s="11" t="s">
        <v>53</v>
      </c>
      <c r="C2705" s="11" t="s">
        <v>164</v>
      </c>
      <c r="D2705" s="11">
        <v>1</v>
      </c>
      <c r="E2705" s="11" t="s">
        <v>4</v>
      </c>
      <c r="F2705" s="12">
        <v>29901</v>
      </c>
      <c r="G2705" s="12">
        <v>29901</v>
      </c>
      <c r="H2705" s="11" t="str">
        <f t="shared" si="88"/>
        <v>平成6年9月14日</v>
      </c>
      <c r="I2705" s="22">
        <f t="shared" si="87"/>
        <v>34591</v>
      </c>
      <c r="J2705" s="1" t="str">
        <f>"00742047"</f>
        <v>00742047</v>
      </c>
      <c r="K2705" s="1" t="str">
        <f>"１５８８　　　　　　　　　　　　　　　　"</f>
        <v>１５８８　　　　　　　　　　　　　　　　</v>
      </c>
      <c r="L2705" s="1"/>
    </row>
    <row r="2706" spans="1:12" ht="18" customHeight="1" x14ac:dyDescent="0.15">
      <c r="A2706" s="11">
        <v>2826</v>
      </c>
      <c r="B2706" s="11" t="s">
        <v>53</v>
      </c>
      <c r="C2706" s="11" t="s">
        <v>164</v>
      </c>
      <c r="D2706" s="11">
        <v>1</v>
      </c>
      <c r="E2706" s="11" t="s">
        <v>4</v>
      </c>
      <c r="F2706" s="12">
        <v>29901</v>
      </c>
      <c r="G2706" s="12">
        <v>29901</v>
      </c>
      <c r="H2706" s="11" t="str">
        <f t="shared" si="88"/>
        <v>平成6年9月14日</v>
      </c>
      <c r="I2706" s="22">
        <f t="shared" ref="I2706:I2769" si="89">DATEVALUE(H2706)</f>
        <v>34591</v>
      </c>
      <c r="J2706" s="1" t="str">
        <f>"00742049"</f>
        <v>00742049</v>
      </c>
      <c r="K2706" s="1" t="str">
        <f>"１５８９　　　　　　　　　　　　　　　　"</f>
        <v>１５８９　　　　　　　　　　　　　　　　</v>
      </c>
      <c r="L2706" s="1"/>
    </row>
    <row r="2707" spans="1:12" ht="18" customHeight="1" x14ac:dyDescent="0.15">
      <c r="A2707" s="11">
        <v>2827</v>
      </c>
      <c r="B2707" s="11" t="s">
        <v>53</v>
      </c>
      <c r="C2707" s="11" t="s">
        <v>164</v>
      </c>
      <c r="D2707" s="11">
        <v>1</v>
      </c>
      <c r="E2707" s="11" t="s">
        <v>4</v>
      </c>
      <c r="F2707" s="12">
        <v>29901</v>
      </c>
      <c r="G2707" s="12">
        <v>29901</v>
      </c>
      <c r="H2707" s="11" t="str">
        <f t="shared" si="88"/>
        <v>平成6年9月14日</v>
      </c>
      <c r="I2707" s="22">
        <f t="shared" si="89"/>
        <v>34591</v>
      </c>
      <c r="J2707" s="1" t="str">
        <f>"00742051"</f>
        <v>00742051</v>
      </c>
      <c r="K2707" s="1" t="str">
        <f>"１５９０　　　　　　　　　　　　　　　　"</f>
        <v>１５９０　　　　　　　　　　　　　　　　</v>
      </c>
      <c r="L2707" s="1"/>
    </row>
    <row r="2708" spans="1:12" ht="18" customHeight="1" x14ac:dyDescent="0.15">
      <c r="A2708" s="11">
        <v>2828</v>
      </c>
      <c r="B2708" s="11" t="s">
        <v>53</v>
      </c>
      <c r="C2708" s="11" t="s">
        <v>164</v>
      </c>
      <c r="D2708" s="11">
        <v>1</v>
      </c>
      <c r="E2708" s="11" t="s">
        <v>4</v>
      </c>
      <c r="F2708" s="12">
        <v>29901</v>
      </c>
      <c r="G2708" s="12">
        <v>29901</v>
      </c>
      <c r="H2708" s="11" t="str">
        <f t="shared" si="88"/>
        <v>平成6年9月14日</v>
      </c>
      <c r="I2708" s="22">
        <f t="shared" si="89"/>
        <v>34591</v>
      </c>
      <c r="J2708" s="1" t="str">
        <f>"00742053"</f>
        <v>00742053</v>
      </c>
      <c r="K2708" s="1" t="str">
        <f>"１５９１　　　　　　　　　　　　　　　　"</f>
        <v>１５９１　　　　　　　　　　　　　　　　</v>
      </c>
      <c r="L2708" s="1"/>
    </row>
    <row r="2709" spans="1:12" ht="18" customHeight="1" x14ac:dyDescent="0.15">
      <c r="A2709" s="11">
        <v>2829</v>
      </c>
      <c r="B2709" s="11" t="s">
        <v>53</v>
      </c>
      <c r="C2709" s="11" t="s">
        <v>164</v>
      </c>
      <c r="D2709" s="11">
        <v>1</v>
      </c>
      <c r="E2709" s="11" t="s">
        <v>4</v>
      </c>
      <c r="F2709" s="12">
        <v>29901</v>
      </c>
      <c r="G2709" s="12">
        <v>29901</v>
      </c>
      <c r="H2709" s="11" t="str">
        <f t="shared" si="88"/>
        <v>平成6年9月14日</v>
      </c>
      <c r="I2709" s="22">
        <f t="shared" si="89"/>
        <v>34591</v>
      </c>
      <c r="J2709" s="1" t="str">
        <f>"00742055"</f>
        <v>00742055</v>
      </c>
      <c r="K2709" s="1" t="str">
        <f>"１５９２　　　　　　　　　　　　　　　　"</f>
        <v>１５９２　　　　　　　　　　　　　　　　</v>
      </c>
      <c r="L2709" s="1"/>
    </row>
    <row r="2710" spans="1:12" ht="18" customHeight="1" x14ac:dyDescent="0.15">
      <c r="A2710" s="11">
        <v>2830</v>
      </c>
      <c r="B2710" s="11" t="s">
        <v>53</v>
      </c>
      <c r="C2710" s="11" t="s">
        <v>164</v>
      </c>
      <c r="D2710" s="11">
        <v>1</v>
      </c>
      <c r="E2710" s="11" t="s">
        <v>4</v>
      </c>
      <c r="F2710" s="12">
        <v>29901</v>
      </c>
      <c r="G2710" s="12">
        <v>29901</v>
      </c>
      <c r="H2710" s="11" t="str">
        <f t="shared" si="88"/>
        <v>平成6年9月14日</v>
      </c>
      <c r="I2710" s="22">
        <f t="shared" si="89"/>
        <v>34591</v>
      </c>
      <c r="J2710" s="1" t="str">
        <f>"00742057"</f>
        <v>00742057</v>
      </c>
      <c r="K2710" s="1" t="str">
        <f>"１５９３　　　　　　　　　　　　　　　　"</f>
        <v>１５９３　　　　　　　　　　　　　　　　</v>
      </c>
      <c r="L2710" s="1"/>
    </row>
    <row r="2711" spans="1:12" ht="18" customHeight="1" x14ac:dyDescent="0.15">
      <c r="A2711" s="11">
        <v>2831</v>
      </c>
      <c r="B2711" s="11" t="s">
        <v>53</v>
      </c>
      <c r="C2711" s="11" t="s">
        <v>164</v>
      </c>
      <c r="D2711" s="11">
        <v>1</v>
      </c>
      <c r="E2711" s="11" t="s">
        <v>4</v>
      </c>
      <c r="F2711" s="12">
        <v>29901</v>
      </c>
      <c r="G2711" s="12">
        <v>29901</v>
      </c>
      <c r="H2711" s="11" t="str">
        <f t="shared" si="88"/>
        <v>平成6年9月14日</v>
      </c>
      <c r="I2711" s="22">
        <f t="shared" si="89"/>
        <v>34591</v>
      </c>
      <c r="J2711" s="1" t="str">
        <f>"00742059"</f>
        <v>00742059</v>
      </c>
      <c r="K2711" s="1" t="str">
        <f>"１５９４　　　　　　　　　　　　　　　　"</f>
        <v>１５９４　　　　　　　　　　　　　　　　</v>
      </c>
      <c r="L2711" s="1"/>
    </row>
    <row r="2712" spans="1:12" ht="18" customHeight="1" x14ac:dyDescent="0.15">
      <c r="A2712" s="11">
        <v>2832</v>
      </c>
      <c r="B2712" s="11" t="s">
        <v>53</v>
      </c>
      <c r="C2712" s="11" t="s">
        <v>164</v>
      </c>
      <c r="D2712" s="11">
        <v>1</v>
      </c>
      <c r="E2712" s="11" t="s">
        <v>4</v>
      </c>
      <c r="F2712" s="12">
        <v>29901</v>
      </c>
      <c r="G2712" s="12">
        <v>29901</v>
      </c>
      <c r="H2712" s="11" t="str">
        <f t="shared" si="88"/>
        <v>平成6年9月14日</v>
      </c>
      <c r="I2712" s="22">
        <f t="shared" si="89"/>
        <v>34591</v>
      </c>
      <c r="J2712" s="1" t="str">
        <f>"00742061"</f>
        <v>00742061</v>
      </c>
      <c r="K2712" s="1" t="str">
        <f>"１５９５　　　　　　　　　　　　　　　　"</f>
        <v>１５９５　　　　　　　　　　　　　　　　</v>
      </c>
      <c r="L2712" s="1"/>
    </row>
    <row r="2713" spans="1:12" ht="18" customHeight="1" x14ac:dyDescent="0.15">
      <c r="A2713" s="11">
        <v>2833</v>
      </c>
      <c r="B2713" s="11" t="s">
        <v>53</v>
      </c>
      <c r="C2713" s="11" t="s">
        <v>164</v>
      </c>
      <c r="D2713" s="11">
        <v>1</v>
      </c>
      <c r="E2713" s="11" t="s">
        <v>4</v>
      </c>
      <c r="F2713" s="12">
        <v>29901</v>
      </c>
      <c r="G2713" s="12">
        <v>29901</v>
      </c>
      <c r="H2713" s="11" t="str">
        <f t="shared" si="88"/>
        <v>平成6年9月14日</v>
      </c>
      <c r="I2713" s="22">
        <f t="shared" si="89"/>
        <v>34591</v>
      </c>
      <c r="J2713" s="1" t="str">
        <f>"00742063"</f>
        <v>00742063</v>
      </c>
      <c r="K2713" s="1" t="str">
        <f>"１５９６　　　　　　　　　　　　　　　　"</f>
        <v>１５９６　　　　　　　　　　　　　　　　</v>
      </c>
      <c r="L2713" s="1"/>
    </row>
    <row r="2714" spans="1:12" ht="18" customHeight="1" x14ac:dyDescent="0.15">
      <c r="A2714" s="11">
        <v>2834</v>
      </c>
      <c r="B2714" s="11" t="s">
        <v>53</v>
      </c>
      <c r="C2714" s="11" t="s">
        <v>164</v>
      </c>
      <c r="D2714" s="11">
        <v>1</v>
      </c>
      <c r="E2714" s="11" t="s">
        <v>4</v>
      </c>
      <c r="F2714" s="12">
        <v>29901</v>
      </c>
      <c r="G2714" s="12">
        <v>29901</v>
      </c>
      <c r="H2714" s="11" t="str">
        <f t="shared" si="88"/>
        <v>平成6年9月14日</v>
      </c>
      <c r="I2714" s="22">
        <f t="shared" si="89"/>
        <v>34591</v>
      </c>
      <c r="J2714" s="1" t="str">
        <f>"00742065"</f>
        <v>00742065</v>
      </c>
      <c r="K2714" s="1" t="str">
        <f>"１５９７　　　　　　　　　　　　　　　　"</f>
        <v>１５９７　　　　　　　　　　　　　　　　</v>
      </c>
      <c r="L2714" s="1"/>
    </row>
    <row r="2715" spans="1:12" ht="18" customHeight="1" x14ac:dyDescent="0.15">
      <c r="A2715" s="11">
        <v>2835</v>
      </c>
      <c r="B2715" s="11" t="s">
        <v>53</v>
      </c>
      <c r="C2715" s="11" t="s">
        <v>164</v>
      </c>
      <c r="D2715" s="11">
        <v>1</v>
      </c>
      <c r="E2715" s="11" t="s">
        <v>4</v>
      </c>
      <c r="F2715" s="12">
        <v>29901</v>
      </c>
      <c r="G2715" s="12">
        <v>29901</v>
      </c>
      <c r="H2715" s="11" t="str">
        <f t="shared" si="88"/>
        <v>平成6年9月14日</v>
      </c>
      <c r="I2715" s="22">
        <f t="shared" si="89"/>
        <v>34591</v>
      </c>
      <c r="J2715" s="1" t="str">
        <f>"00742067"</f>
        <v>00742067</v>
      </c>
      <c r="K2715" s="1" t="str">
        <f>"１５９８　　　　　　　　　　　　　　　　"</f>
        <v>１５９８　　　　　　　　　　　　　　　　</v>
      </c>
      <c r="L2715" s="1"/>
    </row>
    <row r="2716" spans="1:12" ht="18" customHeight="1" x14ac:dyDescent="0.15">
      <c r="A2716" s="11">
        <v>2836</v>
      </c>
      <c r="B2716" s="11" t="s">
        <v>53</v>
      </c>
      <c r="C2716" s="11" t="s">
        <v>164</v>
      </c>
      <c r="D2716" s="11">
        <v>1</v>
      </c>
      <c r="E2716" s="11" t="s">
        <v>4</v>
      </c>
      <c r="F2716" s="12">
        <v>29901</v>
      </c>
      <c r="G2716" s="12">
        <v>29901</v>
      </c>
      <c r="H2716" s="11" t="str">
        <f t="shared" si="88"/>
        <v>平成6年9月14日</v>
      </c>
      <c r="I2716" s="22">
        <f t="shared" si="89"/>
        <v>34591</v>
      </c>
      <c r="J2716" s="1" t="str">
        <f>"00742069"</f>
        <v>00742069</v>
      </c>
      <c r="K2716" s="1" t="str">
        <f>"１５９９　　　　　　　　　　　　　　　　"</f>
        <v>１５９９　　　　　　　　　　　　　　　　</v>
      </c>
      <c r="L2716" s="1"/>
    </row>
    <row r="2717" spans="1:12" ht="18" customHeight="1" x14ac:dyDescent="0.15">
      <c r="A2717" s="11">
        <v>2837</v>
      </c>
      <c r="B2717" s="11" t="s">
        <v>53</v>
      </c>
      <c r="C2717" s="11" t="s">
        <v>164</v>
      </c>
      <c r="D2717" s="11">
        <v>1</v>
      </c>
      <c r="E2717" s="11" t="s">
        <v>4</v>
      </c>
      <c r="F2717" s="12">
        <v>29901</v>
      </c>
      <c r="G2717" s="12">
        <v>29901</v>
      </c>
      <c r="H2717" s="11" t="str">
        <f t="shared" si="88"/>
        <v>平成6年9月14日</v>
      </c>
      <c r="I2717" s="22">
        <f t="shared" si="89"/>
        <v>34591</v>
      </c>
      <c r="J2717" s="1" t="str">
        <f>"00742071"</f>
        <v>00742071</v>
      </c>
      <c r="K2717" s="1" t="str">
        <f>"１６００　　　　　　　　　　　　　　　　"</f>
        <v>１６００　　　　　　　　　　　　　　　　</v>
      </c>
      <c r="L2717" s="1"/>
    </row>
    <row r="2718" spans="1:12" ht="18" customHeight="1" x14ac:dyDescent="0.15">
      <c r="A2718" s="11">
        <v>2838</v>
      </c>
      <c r="B2718" s="11" t="s">
        <v>53</v>
      </c>
      <c r="C2718" s="11" t="s">
        <v>164</v>
      </c>
      <c r="D2718" s="11">
        <v>1</v>
      </c>
      <c r="E2718" s="11" t="s">
        <v>4</v>
      </c>
      <c r="F2718" s="12">
        <v>29901</v>
      </c>
      <c r="G2718" s="12">
        <v>29901</v>
      </c>
      <c r="H2718" s="11" t="str">
        <f t="shared" si="88"/>
        <v>平成6年9月14日</v>
      </c>
      <c r="I2718" s="22">
        <f t="shared" si="89"/>
        <v>34591</v>
      </c>
      <c r="J2718" s="1" t="str">
        <f>"00742073"</f>
        <v>00742073</v>
      </c>
      <c r="K2718" s="1" t="str">
        <f>"１６０１　　　　　　　　　　　　　　　　"</f>
        <v>１６０１　　　　　　　　　　　　　　　　</v>
      </c>
      <c r="L2718" s="1"/>
    </row>
    <row r="2719" spans="1:12" ht="18" customHeight="1" x14ac:dyDescent="0.15">
      <c r="A2719" s="11">
        <v>2839</v>
      </c>
      <c r="B2719" s="11" t="s">
        <v>53</v>
      </c>
      <c r="C2719" s="11" t="s">
        <v>164</v>
      </c>
      <c r="D2719" s="11">
        <v>1</v>
      </c>
      <c r="E2719" s="11" t="s">
        <v>4</v>
      </c>
      <c r="F2719" s="12">
        <v>29901</v>
      </c>
      <c r="G2719" s="12">
        <v>29901</v>
      </c>
      <c r="H2719" s="11" t="str">
        <f t="shared" si="88"/>
        <v>平成6年9月14日</v>
      </c>
      <c r="I2719" s="22">
        <f t="shared" si="89"/>
        <v>34591</v>
      </c>
      <c r="J2719" s="1" t="str">
        <f>"00742075"</f>
        <v>00742075</v>
      </c>
      <c r="K2719" s="1" t="str">
        <f>"１６０２　　　　　　　　　　　　　　　　"</f>
        <v>１６０２　　　　　　　　　　　　　　　　</v>
      </c>
      <c r="L2719" s="1"/>
    </row>
    <row r="2720" spans="1:12" ht="18" customHeight="1" x14ac:dyDescent="0.15">
      <c r="A2720" s="11">
        <v>2840</v>
      </c>
      <c r="B2720" s="11" t="s">
        <v>53</v>
      </c>
      <c r="C2720" s="11" t="s">
        <v>164</v>
      </c>
      <c r="D2720" s="11">
        <v>1</v>
      </c>
      <c r="E2720" s="11" t="s">
        <v>4</v>
      </c>
      <c r="F2720" s="12">
        <v>29901</v>
      </c>
      <c r="G2720" s="12">
        <v>29901</v>
      </c>
      <c r="H2720" s="11" t="str">
        <f t="shared" si="88"/>
        <v>平成6年9月14日</v>
      </c>
      <c r="I2720" s="22">
        <f t="shared" si="89"/>
        <v>34591</v>
      </c>
      <c r="J2720" s="1" t="str">
        <f>"00742077"</f>
        <v>00742077</v>
      </c>
      <c r="K2720" s="1" t="str">
        <f>"１６０３　　　　　　　　　　　　　　　　"</f>
        <v>１６０３　　　　　　　　　　　　　　　　</v>
      </c>
      <c r="L2720" s="1"/>
    </row>
    <row r="2721" spans="1:12" ht="18" customHeight="1" x14ac:dyDescent="0.15">
      <c r="A2721" s="11">
        <v>2841</v>
      </c>
      <c r="B2721" s="11" t="s">
        <v>53</v>
      </c>
      <c r="C2721" s="11" t="s">
        <v>164</v>
      </c>
      <c r="D2721" s="11">
        <v>1</v>
      </c>
      <c r="E2721" s="11" t="s">
        <v>4</v>
      </c>
      <c r="F2721" s="12">
        <v>29901</v>
      </c>
      <c r="G2721" s="12">
        <v>29901</v>
      </c>
      <c r="H2721" s="11" t="str">
        <f t="shared" si="88"/>
        <v>平成6年9月14日</v>
      </c>
      <c r="I2721" s="22">
        <f t="shared" si="89"/>
        <v>34591</v>
      </c>
      <c r="J2721" s="1" t="str">
        <f>"00742079"</f>
        <v>00742079</v>
      </c>
      <c r="K2721" s="1" t="str">
        <f>"１６０４　　　　　　　　　　　　　　　　"</f>
        <v>１６０４　　　　　　　　　　　　　　　　</v>
      </c>
      <c r="L2721" s="1"/>
    </row>
    <row r="2722" spans="1:12" ht="18" customHeight="1" x14ac:dyDescent="0.15">
      <c r="A2722" s="11">
        <v>2842</v>
      </c>
      <c r="B2722" s="11" t="s">
        <v>53</v>
      </c>
      <c r="C2722" s="11" t="s">
        <v>164</v>
      </c>
      <c r="D2722" s="11">
        <v>1</v>
      </c>
      <c r="E2722" s="11" t="s">
        <v>4</v>
      </c>
      <c r="F2722" s="12">
        <v>29901</v>
      </c>
      <c r="G2722" s="12">
        <v>29901</v>
      </c>
      <c r="H2722" s="11" t="str">
        <f t="shared" si="88"/>
        <v>平成6年9月14日</v>
      </c>
      <c r="I2722" s="22">
        <f t="shared" si="89"/>
        <v>34591</v>
      </c>
      <c r="J2722" s="1" t="str">
        <f>"00742081"</f>
        <v>00742081</v>
      </c>
      <c r="K2722" s="1" t="str">
        <f>"１６０５　　　　　　　　　　　　　　　　"</f>
        <v>１６０５　　　　　　　　　　　　　　　　</v>
      </c>
      <c r="L2722" s="1"/>
    </row>
    <row r="2723" spans="1:12" ht="18" customHeight="1" x14ac:dyDescent="0.15">
      <c r="A2723" s="11">
        <v>2843</v>
      </c>
      <c r="B2723" s="11" t="s">
        <v>53</v>
      </c>
      <c r="C2723" s="11" t="s">
        <v>164</v>
      </c>
      <c r="D2723" s="11">
        <v>1</v>
      </c>
      <c r="E2723" s="11" t="s">
        <v>4</v>
      </c>
      <c r="F2723" s="12">
        <v>29901</v>
      </c>
      <c r="G2723" s="12">
        <v>29901</v>
      </c>
      <c r="H2723" s="11" t="str">
        <f t="shared" si="88"/>
        <v>平成6年9月14日</v>
      </c>
      <c r="I2723" s="22">
        <f t="shared" si="89"/>
        <v>34591</v>
      </c>
      <c r="J2723" s="1" t="str">
        <f>"00742083"</f>
        <v>00742083</v>
      </c>
      <c r="K2723" s="1" t="str">
        <f>"１６０６　　　　　　　　　　　　　　　　"</f>
        <v>１６０６　　　　　　　　　　　　　　　　</v>
      </c>
      <c r="L2723" s="1"/>
    </row>
    <row r="2724" spans="1:12" ht="18" customHeight="1" x14ac:dyDescent="0.15">
      <c r="A2724" s="11">
        <v>2844</v>
      </c>
      <c r="B2724" s="11" t="s">
        <v>53</v>
      </c>
      <c r="C2724" s="11" t="s">
        <v>164</v>
      </c>
      <c r="D2724" s="11">
        <v>1</v>
      </c>
      <c r="E2724" s="11" t="s">
        <v>4</v>
      </c>
      <c r="F2724" s="12">
        <v>29901</v>
      </c>
      <c r="G2724" s="12">
        <v>29901</v>
      </c>
      <c r="H2724" s="11" t="str">
        <f t="shared" si="88"/>
        <v>平成6年9月14日</v>
      </c>
      <c r="I2724" s="22">
        <f t="shared" si="89"/>
        <v>34591</v>
      </c>
      <c r="J2724" s="1" t="str">
        <f>"00742085"</f>
        <v>00742085</v>
      </c>
      <c r="K2724" s="1" t="str">
        <f>"１６０７　　　　　　　　　　　　　　　　"</f>
        <v>１６０７　　　　　　　　　　　　　　　　</v>
      </c>
      <c r="L2724" s="1"/>
    </row>
    <row r="2725" spans="1:12" ht="18" customHeight="1" x14ac:dyDescent="0.15">
      <c r="A2725" s="11">
        <v>2845</v>
      </c>
      <c r="B2725" s="11" t="s">
        <v>53</v>
      </c>
      <c r="C2725" s="11" t="s">
        <v>164</v>
      </c>
      <c r="D2725" s="11">
        <v>1</v>
      </c>
      <c r="E2725" s="11" t="s">
        <v>4</v>
      </c>
      <c r="F2725" s="12">
        <v>29901</v>
      </c>
      <c r="G2725" s="12">
        <v>29901</v>
      </c>
      <c r="H2725" s="11" t="str">
        <f t="shared" si="88"/>
        <v>平成6年9月14日</v>
      </c>
      <c r="I2725" s="22">
        <f t="shared" si="89"/>
        <v>34591</v>
      </c>
      <c r="J2725" s="1" t="str">
        <f>"00742087"</f>
        <v>00742087</v>
      </c>
      <c r="K2725" s="1" t="str">
        <f>"１６０８　　　　　　　　　　　　　　　　"</f>
        <v>１６０８　　　　　　　　　　　　　　　　</v>
      </c>
      <c r="L2725" s="1"/>
    </row>
    <row r="2726" spans="1:12" ht="18" customHeight="1" x14ac:dyDescent="0.15">
      <c r="A2726" s="11">
        <v>2846</v>
      </c>
      <c r="B2726" s="11" t="s">
        <v>53</v>
      </c>
      <c r="C2726" s="11" t="s">
        <v>164</v>
      </c>
      <c r="D2726" s="11">
        <v>1</v>
      </c>
      <c r="E2726" s="11" t="s">
        <v>4</v>
      </c>
      <c r="F2726" s="12">
        <v>29901</v>
      </c>
      <c r="G2726" s="12">
        <v>29901</v>
      </c>
      <c r="H2726" s="11" t="str">
        <f t="shared" si="88"/>
        <v>平成6年9月14日</v>
      </c>
      <c r="I2726" s="22">
        <f t="shared" si="89"/>
        <v>34591</v>
      </c>
      <c r="J2726" s="1" t="str">
        <f>"00742089"</f>
        <v>00742089</v>
      </c>
      <c r="K2726" s="1" t="str">
        <f>"１６０９　　　　　　　　　　　　　　　　"</f>
        <v>１６０９　　　　　　　　　　　　　　　　</v>
      </c>
      <c r="L2726" s="1"/>
    </row>
    <row r="2727" spans="1:12" ht="18" customHeight="1" x14ac:dyDescent="0.15">
      <c r="A2727" s="11">
        <v>2847</v>
      </c>
      <c r="B2727" s="11" t="s">
        <v>53</v>
      </c>
      <c r="C2727" s="11" t="s">
        <v>164</v>
      </c>
      <c r="D2727" s="11">
        <v>1</v>
      </c>
      <c r="E2727" s="11" t="s">
        <v>4</v>
      </c>
      <c r="F2727" s="12">
        <v>29901</v>
      </c>
      <c r="G2727" s="12">
        <v>29901</v>
      </c>
      <c r="H2727" s="11" t="str">
        <f t="shared" si="88"/>
        <v>平成6年9月14日</v>
      </c>
      <c r="I2727" s="22">
        <f t="shared" si="89"/>
        <v>34591</v>
      </c>
      <c r="J2727" s="1" t="str">
        <f>"00742091"</f>
        <v>00742091</v>
      </c>
      <c r="K2727" s="1" t="str">
        <f>"１６１０　　　　　　　　　　　　　　　　"</f>
        <v>１６１０　　　　　　　　　　　　　　　　</v>
      </c>
      <c r="L2727" s="1"/>
    </row>
    <row r="2728" spans="1:12" ht="18" customHeight="1" x14ac:dyDescent="0.15">
      <c r="A2728" s="11">
        <v>2848</v>
      </c>
      <c r="B2728" s="11" t="s">
        <v>53</v>
      </c>
      <c r="C2728" s="11" t="s">
        <v>164</v>
      </c>
      <c r="D2728" s="11">
        <v>1</v>
      </c>
      <c r="E2728" s="11" t="s">
        <v>4</v>
      </c>
      <c r="F2728" s="12">
        <v>29901</v>
      </c>
      <c r="G2728" s="12">
        <v>29901</v>
      </c>
      <c r="H2728" s="11" t="str">
        <f t="shared" si="88"/>
        <v>平成6年9月14日</v>
      </c>
      <c r="I2728" s="22">
        <f t="shared" si="89"/>
        <v>34591</v>
      </c>
      <c r="J2728" s="1" t="str">
        <f>"00742093"</f>
        <v>00742093</v>
      </c>
      <c r="K2728" s="1" t="str">
        <f>"１６１１　　　　　　　　　　　　　　　　"</f>
        <v>１６１１　　　　　　　　　　　　　　　　</v>
      </c>
      <c r="L2728" s="1"/>
    </row>
    <row r="2729" spans="1:12" ht="18" customHeight="1" x14ac:dyDescent="0.15">
      <c r="A2729" s="11">
        <v>2849</v>
      </c>
      <c r="B2729" s="11" t="s">
        <v>53</v>
      </c>
      <c r="C2729" s="11" t="s">
        <v>164</v>
      </c>
      <c r="D2729" s="11">
        <v>1</v>
      </c>
      <c r="E2729" s="11" t="s">
        <v>4</v>
      </c>
      <c r="F2729" s="12">
        <v>29901</v>
      </c>
      <c r="G2729" s="12">
        <v>29901</v>
      </c>
      <c r="H2729" s="11" t="str">
        <f t="shared" si="88"/>
        <v>平成6年9月14日</v>
      </c>
      <c r="I2729" s="22">
        <f t="shared" si="89"/>
        <v>34591</v>
      </c>
      <c r="J2729" s="1" t="str">
        <f>"00742095"</f>
        <v>00742095</v>
      </c>
      <c r="K2729" s="1" t="str">
        <f>"１６１２　　　　　　　　　　　　　　　　"</f>
        <v>１６１２　　　　　　　　　　　　　　　　</v>
      </c>
      <c r="L2729" s="1"/>
    </row>
    <row r="2730" spans="1:12" ht="18" customHeight="1" x14ac:dyDescent="0.15">
      <c r="A2730" s="11">
        <v>2850</v>
      </c>
      <c r="B2730" s="11" t="s">
        <v>53</v>
      </c>
      <c r="C2730" s="11" t="s">
        <v>164</v>
      </c>
      <c r="D2730" s="11">
        <v>1</v>
      </c>
      <c r="E2730" s="11" t="s">
        <v>4</v>
      </c>
      <c r="F2730" s="12">
        <v>29901</v>
      </c>
      <c r="G2730" s="12">
        <v>29901</v>
      </c>
      <c r="H2730" s="11" t="str">
        <f t="shared" si="88"/>
        <v>平成6年9月14日</v>
      </c>
      <c r="I2730" s="22">
        <f t="shared" si="89"/>
        <v>34591</v>
      </c>
      <c r="J2730" s="1" t="str">
        <f>"00742097"</f>
        <v>00742097</v>
      </c>
      <c r="K2730" s="1" t="str">
        <f>"１６１３　　　　　　　　　　　　　　　　"</f>
        <v>１６１３　　　　　　　　　　　　　　　　</v>
      </c>
      <c r="L2730" s="1"/>
    </row>
    <row r="2731" spans="1:12" ht="18" customHeight="1" x14ac:dyDescent="0.15">
      <c r="A2731" s="11">
        <v>2851</v>
      </c>
      <c r="B2731" s="11" t="s">
        <v>53</v>
      </c>
      <c r="C2731" s="11" t="s">
        <v>164</v>
      </c>
      <c r="D2731" s="11">
        <v>1</v>
      </c>
      <c r="E2731" s="11" t="s">
        <v>4</v>
      </c>
      <c r="F2731" s="12">
        <v>29901</v>
      </c>
      <c r="G2731" s="12">
        <v>29901</v>
      </c>
      <c r="H2731" s="11" t="str">
        <f t="shared" si="88"/>
        <v>平成6年9月14日</v>
      </c>
      <c r="I2731" s="22">
        <f t="shared" si="89"/>
        <v>34591</v>
      </c>
      <c r="J2731" s="1" t="str">
        <f>"00742099"</f>
        <v>00742099</v>
      </c>
      <c r="K2731" s="1" t="str">
        <f>"１６１４　　　　　　　　　　　　　　　　"</f>
        <v>１６１４　　　　　　　　　　　　　　　　</v>
      </c>
      <c r="L2731" s="1"/>
    </row>
    <row r="2732" spans="1:12" ht="18" customHeight="1" x14ac:dyDescent="0.15">
      <c r="A2732" s="11">
        <v>2852</v>
      </c>
      <c r="B2732" s="11" t="s">
        <v>53</v>
      </c>
      <c r="C2732" s="11" t="s">
        <v>164</v>
      </c>
      <c r="D2732" s="11">
        <v>1</v>
      </c>
      <c r="E2732" s="11" t="s">
        <v>4</v>
      </c>
      <c r="F2732" s="12">
        <v>29901</v>
      </c>
      <c r="G2732" s="12">
        <v>29901</v>
      </c>
      <c r="H2732" s="11" t="str">
        <f t="shared" si="88"/>
        <v>平成6年9月14日</v>
      </c>
      <c r="I2732" s="22">
        <f t="shared" si="89"/>
        <v>34591</v>
      </c>
      <c r="J2732" s="1" t="str">
        <f>"00742101"</f>
        <v>00742101</v>
      </c>
      <c r="K2732" s="1" t="str">
        <f>"１６１５　　　　　　　　　　　　　　　　"</f>
        <v>１６１５　　　　　　　　　　　　　　　　</v>
      </c>
      <c r="L2732" s="1"/>
    </row>
    <row r="2733" spans="1:12" ht="18" customHeight="1" x14ac:dyDescent="0.15">
      <c r="A2733" s="11">
        <v>2853</v>
      </c>
      <c r="B2733" s="11" t="s">
        <v>53</v>
      </c>
      <c r="C2733" s="11" t="s">
        <v>164</v>
      </c>
      <c r="D2733" s="11">
        <v>1</v>
      </c>
      <c r="E2733" s="11" t="s">
        <v>4</v>
      </c>
      <c r="F2733" s="12">
        <v>29901</v>
      </c>
      <c r="G2733" s="12">
        <v>29901</v>
      </c>
      <c r="H2733" s="11" t="str">
        <f t="shared" si="88"/>
        <v>平成6年9月14日</v>
      </c>
      <c r="I2733" s="22">
        <f t="shared" si="89"/>
        <v>34591</v>
      </c>
      <c r="J2733" s="1" t="str">
        <f>"00742103"</f>
        <v>00742103</v>
      </c>
      <c r="K2733" s="1" t="str">
        <f>"１６１６　　　　　　　　　　　　　　　　"</f>
        <v>１６１６　　　　　　　　　　　　　　　　</v>
      </c>
      <c r="L2733" s="1"/>
    </row>
    <row r="2734" spans="1:12" ht="18" customHeight="1" x14ac:dyDescent="0.15">
      <c r="A2734" s="11">
        <v>2854</v>
      </c>
      <c r="B2734" s="11" t="s">
        <v>53</v>
      </c>
      <c r="C2734" s="11" t="s">
        <v>164</v>
      </c>
      <c r="D2734" s="11">
        <v>1</v>
      </c>
      <c r="E2734" s="11" t="s">
        <v>4</v>
      </c>
      <c r="F2734" s="12">
        <v>29901</v>
      </c>
      <c r="G2734" s="12">
        <v>29901</v>
      </c>
      <c r="H2734" s="11" t="str">
        <f t="shared" si="88"/>
        <v>平成6年9月14日</v>
      </c>
      <c r="I2734" s="22">
        <f t="shared" si="89"/>
        <v>34591</v>
      </c>
      <c r="J2734" s="1" t="str">
        <f>"00742105"</f>
        <v>00742105</v>
      </c>
      <c r="K2734" s="1" t="str">
        <f>"１６１７　　　　　　　　　　　　　　　　"</f>
        <v>１６１７　　　　　　　　　　　　　　　　</v>
      </c>
      <c r="L2734" s="1"/>
    </row>
    <row r="2735" spans="1:12" ht="18" customHeight="1" x14ac:dyDescent="0.15">
      <c r="A2735" s="11">
        <v>2855</v>
      </c>
      <c r="B2735" s="11" t="s">
        <v>53</v>
      </c>
      <c r="C2735" s="11" t="s">
        <v>164</v>
      </c>
      <c r="D2735" s="11">
        <v>1</v>
      </c>
      <c r="E2735" s="11" t="s">
        <v>4</v>
      </c>
      <c r="F2735" s="12">
        <v>29901</v>
      </c>
      <c r="G2735" s="12">
        <v>29901</v>
      </c>
      <c r="H2735" s="11" t="str">
        <f t="shared" si="88"/>
        <v>平成6年9月14日</v>
      </c>
      <c r="I2735" s="22">
        <f t="shared" si="89"/>
        <v>34591</v>
      </c>
      <c r="J2735" s="1" t="str">
        <f>"00742107"</f>
        <v>00742107</v>
      </c>
      <c r="K2735" s="1" t="str">
        <f>"１６１８　　　　　　　　　　　　　　　　"</f>
        <v>１６１８　　　　　　　　　　　　　　　　</v>
      </c>
      <c r="L2735" s="1"/>
    </row>
    <row r="2736" spans="1:12" ht="18" customHeight="1" x14ac:dyDescent="0.15">
      <c r="A2736" s="11">
        <v>2856</v>
      </c>
      <c r="B2736" s="11" t="s">
        <v>53</v>
      </c>
      <c r="C2736" s="11" t="s">
        <v>164</v>
      </c>
      <c r="D2736" s="11">
        <v>1</v>
      </c>
      <c r="E2736" s="11" t="s">
        <v>4</v>
      </c>
      <c r="F2736" s="12">
        <v>29901</v>
      </c>
      <c r="G2736" s="12">
        <v>29901</v>
      </c>
      <c r="H2736" s="11" t="str">
        <f t="shared" si="88"/>
        <v>平成6年9月14日</v>
      </c>
      <c r="I2736" s="22">
        <f t="shared" si="89"/>
        <v>34591</v>
      </c>
      <c r="J2736" s="1" t="str">
        <f>"00742109"</f>
        <v>00742109</v>
      </c>
      <c r="K2736" s="1" t="str">
        <f>"１６１９　　　　　　　　　　　　　　　　"</f>
        <v>１６１９　　　　　　　　　　　　　　　　</v>
      </c>
      <c r="L2736" s="1"/>
    </row>
    <row r="2737" spans="1:12" ht="18" customHeight="1" x14ac:dyDescent="0.15">
      <c r="A2737" s="11">
        <v>2857</v>
      </c>
      <c r="B2737" s="11" t="s">
        <v>53</v>
      </c>
      <c r="C2737" s="11" t="s">
        <v>164</v>
      </c>
      <c r="D2737" s="11">
        <v>1</v>
      </c>
      <c r="E2737" s="11" t="s">
        <v>4</v>
      </c>
      <c r="F2737" s="12">
        <v>29901</v>
      </c>
      <c r="G2737" s="12">
        <v>29901</v>
      </c>
      <c r="H2737" s="11" t="str">
        <f t="shared" si="88"/>
        <v>平成6年9月14日</v>
      </c>
      <c r="I2737" s="22">
        <f t="shared" si="89"/>
        <v>34591</v>
      </c>
      <c r="J2737" s="1" t="str">
        <f>"00742110"</f>
        <v>00742110</v>
      </c>
      <c r="K2737" s="1" t="str">
        <f>"１６２０　　　　　　　　　　　　　　　　"</f>
        <v>１６２０　　　　　　　　　　　　　　　　</v>
      </c>
      <c r="L2737" s="1"/>
    </row>
    <row r="2738" spans="1:12" ht="18" customHeight="1" x14ac:dyDescent="0.15">
      <c r="A2738" s="11">
        <v>2858</v>
      </c>
      <c r="B2738" s="11" t="s">
        <v>53</v>
      </c>
      <c r="C2738" s="11" t="s">
        <v>164</v>
      </c>
      <c r="D2738" s="11">
        <v>1</v>
      </c>
      <c r="E2738" s="11" t="s">
        <v>4</v>
      </c>
      <c r="F2738" s="12">
        <v>29901</v>
      </c>
      <c r="G2738" s="12">
        <v>29901</v>
      </c>
      <c r="H2738" s="11" t="str">
        <f t="shared" si="88"/>
        <v>平成6年9月14日</v>
      </c>
      <c r="I2738" s="22">
        <f t="shared" si="89"/>
        <v>34591</v>
      </c>
      <c r="J2738" s="1" t="str">
        <f>"00742112"</f>
        <v>00742112</v>
      </c>
      <c r="K2738" s="1" t="str">
        <f>"１６２１　　　　　　　　　　　　　　　　"</f>
        <v>１６２１　　　　　　　　　　　　　　　　</v>
      </c>
      <c r="L2738" s="1"/>
    </row>
    <row r="2739" spans="1:12" ht="18" customHeight="1" x14ac:dyDescent="0.15">
      <c r="A2739" s="11">
        <v>2859</v>
      </c>
      <c r="B2739" s="11" t="s">
        <v>53</v>
      </c>
      <c r="C2739" s="11" t="s">
        <v>164</v>
      </c>
      <c r="D2739" s="11">
        <v>1</v>
      </c>
      <c r="E2739" s="11" t="s">
        <v>4</v>
      </c>
      <c r="F2739" s="12">
        <v>29901</v>
      </c>
      <c r="G2739" s="12">
        <v>29901</v>
      </c>
      <c r="H2739" s="11" t="str">
        <f t="shared" si="88"/>
        <v>平成6年9月14日</v>
      </c>
      <c r="I2739" s="22">
        <f t="shared" si="89"/>
        <v>34591</v>
      </c>
      <c r="J2739" s="1" t="str">
        <f>"00742114"</f>
        <v>00742114</v>
      </c>
      <c r="K2739" s="1" t="str">
        <f>"１６２２　　　　　　　　　　　　　　　　"</f>
        <v>１６２２　　　　　　　　　　　　　　　　</v>
      </c>
      <c r="L2739" s="1"/>
    </row>
    <row r="2740" spans="1:12" ht="18" customHeight="1" x14ac:dyDescent="0.15">
      <c r="A2740" s="11">
        <v>2860</v>
      </c>
      <c r="B2740" s="11" t="s">
        <v>53</v>
      </c>
      <c r="C2740" s="11" t="s">
        <v>164</v>
      </c>
      <c r="D2740" s="11">
        <v>1</v>
      </c>
      <c r="E2740" s="11" t="s">
        <v>4</v>
      </c>
      <c r="F2740" s="12">
        <v>29901</v>
      </c>
      <c r="G2740" s="12">
        <v>29901</v>
      </c>
      <c r="H2740" s="11" t="str">
        <f t="shared" si="88"/>
        <v>平成6年9月14日</v>
      </c>
      <c r="I2740" s="22">
        <f t="shared" si="89"/>
        <v>34591</v>
      </c>
      <c r="J2740" s="1" t="str">
        <f>"00742116"</f>
        <v>00742116</v>
      </c>
      <c r="K2740" s="1" t="str">
        <f>"１６２３　　　　　　　　　　　　　　　　"</f>
        <v>１６２３　　　　　　　　　　　　　　　　</v>
      </c>
      <c r="L2740" s="1"/>
    </row>
    <row r="2741" spans="1:12" ht="18" customHeight="1" x14ac:dyDescent="0.15">
      <c r="A2741" s="11">
        <v>2861</v>
      </c>
      <c r="B2741" s="11" t="s">
        <v>53</v>
      </c>
      <c r="C2741" s="11" t="s">
        <v>164</v>
      </c>
      <c r="D2741" s="11">
        <v>1</v>
      </c>
      <c r="E2741" s="11" t="s">
        <v>4</v>
      </c>
      <c r="F2741" s="12">
        <v>29901</v>
      </c>
      <c r="G2741" s="12">
        <v>29901</v>
      </c>
      <c r="H2741" s="11" t="str">
        <f t="shared" si="88"/>
        <v>平成6年9月14日</v>
      </c>
      <c r="I2741" s="22">
        <f t="shared" si="89"/>
        <v>34591</v>
      </c>
      <c r="J2741" s="1" t="str">
        <f>"00742118"</f>
        <v>00742118</v>
      </c>
      <c r="K2741" s="1" t="str">
        <f>"１６２４　　　　　　　　　　　　　　　　"</f>
        <v>１６２４　　　　　　　　　　　　　　　　</v>
      </c>
      <c r="L2741" s="1"/>
    </row>
    <row r="2742" spans="1:12" ht="18" customHeight="1" x14ac:dyDescent="0.15">
      <c r="A2742" s="11">
        <v>2862</v>
      </c>
      <c r="B2742" s="11" t="s">
        <v>53</v>
      </c>
      <c r="C2742" s="11" t="s">
        <v>164</v>
      </c>
      <c r="D2742" s="11">
        <v>1</v>
      </c>
      <c r="E2742" s="11" t="s">
        <v>4</v>
      </c>
      <c r="F2742" s="12">
        <v>29901</v>
      </c>
      <c r="G2742" s="12">
        <v>29901</v>
      </c>
      <c r="H2742" s="11" t="str">
        <f t="shared" si="88"/>
        <v>平成6年9月14日</v>
      </c>
      <c r="I2742" s="22">
        <f t="shared" si="89"/>
        <v>34591</v>
      </c>
      <c r="J2742" s="1" t="str">
        <f>"00742120"</f>
        <v>00742120</v>
      </c>
      <c r="K2742" s="1" t="str">
        <f>"１６２５　　　　　　　　　　　　　　　　"</f>
        <v>１６２５　　　　　　　　　　　　　　　　</v>
      </c>
      <c r="L2742" s="1"/>
    </row>
    <row r="2743" spans="1:12" ht="18" customHeight="1" x14ac:dyDescent="0.15">
      <c r="A2743" s="11">
        <v>2863</v>
      </c>
      <c r="B2743" s="11" t="s">
        <v>53</v>
      </c>
      <c r="C2743" s="11" t="s">
        <v>164</v>
      </c>
      <c r="D2743" s="11">
        <v>1</v>
      </c>
      <c r="E2743" s="11" t="s">
        <v>4</v>
      </c>
      <c r="F2743" s="12">
        <v>29901</v>
      </c>
      <c r="G2743" s="12">
        <v>29901</v>
      </c>
      <c r="H2743" s="11" t="str">
        <f t="shared" si="88"/>
        <v>平成6年9月14日</v>
      </c>
      <c r="I2743" s="22">
        <f t="shared" si="89"/>
        <v>34591</v>
      </c>
      <c r="J2743" s="1" t="str">
        <f>"00742122"</f>
        <v>00742122</v>
      </c>
      <c r="K2743" s="1" t="str">
        <f>"１６２６　　　　　　　　　　　　　　　　"</f>
        <v>１６２６　　　　　　　　　　　　　　　　</v>
      </c>
      <c r="L2743" s="1"/>
    </row>
    <row r="2744" spans="1:12" ht="18" customHeight="1" x14ac:dyDescent="0.15">
      <c r="A2744" s="11">
        <v>2864</v>
      </c>
      <c r="B2744" s="11" t="s">
        <v>53</v>
      </c>
      <c r="C2744" s="11" t="s">
        <v>164</v>
      </c>
      <c r="D2744" s="11">
        <v>1</v>
      </c>
      <c r="E2744" s="11" t="s">
        <v>4</v>
      </c>
      <c r="F2744" s="12">
        <v>29901</v>
      </c>
      <c r="G2744" s="12">
        <v>29901</v>
      </c>
      <c r="H2744" s="11" t="str">
        <f t="shared" si="88"/>
        <v>平成6年9月14日</v>
      </c>
      <c r="I2744" s="22">
        <f t="shared" si="89"/>
        <v>34591</v>
      </c>
      <c r="J2744" s="1" t="str">
        <f>"00742124"</f>
        <v>00742124</v>
      </c>
      <c r="K2744" s="1" t="str">
        <f>"１６２７　　　　　　　　　　　　　　　　"</f>
        <v>１６２７　　　　　　　　　　　　　　　　</v>
      </c>
      <c r="L2744" s="1"/>
    </row>
    <row r="2745" spans="1:12" ht="18" customHeight="1" x14ac:dyDescent="0.15">
      <c r="A2745" s="11">
        <v>2865</v>
      </c>
      <c r="B2745" s="11" t="s">
        <v>53</v>
      </c>
      <c r="C2745" s="11" t="s">
        <v>164</v>
      </c>
      <c r="D2745" s="11">
        <v>1</v>
      </c>
      <c r="E2745" s="11" t="s">
        <v>4</v>
      </c>
      <c r="F2745" s="12">
        <v>29901</v>
      </c>
      <c r="G2745" s="12">
        <v>29901</v>
      </c>
      <c r="H2745" s="11" t="str">
        <f t="shared" si="88"/>
        <v>平成6年9月14日</v>
      </c>
      <c r="I2745" s="22">
        <f t="shared" si="89"/>
        <v>34591</v>
      </c>
      <c r="J2745" s="1" t="str">
        <f>"00742126"</f>
        <v>00742126</v>
      </c>
      <c r="K2745" s="1" t="str">
        <f>"１６２８　　　　　　　　　　　　　　　　"</f>
        <v>１６２８　　　　　　　　　　　　　　　　</v>
      </c>
      <c r="L2745" s="1"/>
    </row>
    <row r="2746" spans="1:12" ht="18" customHeight="1" x14ac:dyDescent="0.15">
      <c r="A2746" s="11">
        <v>2866</v>
      </c>
      <c r="B2746" s="11" t="s">
        <v>53</v>
      </c>
      <c r="C2746" s="11" t="s">
        <v>164</v>
      </c>
      <c r="D2746" s="11">
        <v>1</v>
      </c>
      <c r="E2746" s="11" t="s">
        <v>4</v>
      </c>
      <c r="F2746" s="12">
        <v>29901</v>
      </c>
      <c r="G2746" s="12">
        <v>29901</v>
      </c>
      <c r="H2746" s="11" t="str">
        <f t="shared" si="88"/>
        <v>平成6年9月14日</v>
      </c>
      <c r="I2746" s="22">
        <f t="shared" si="89"/>
        <v>34591</v>
      </c>
      <c r="J2746" s="1" t="str">
        <f>"00742128"</f>
        <v>00742128</v>
      </c>
      <c r="K2746" s="1" t="str">
        <f>"１６２９　　　　　　　　　　　　　　　　"</f>
        <v>１６２９　　　　　　　　　　　　　　　　</v>
      </c>
      <c r="L2746" s="1"/>
    </row>
    <row r="2747" spans="1:12" ht="18" customHeight="1" x14ac:dyDescent="0.15">
      <c r="A2747" s="11">
        <v>2867</v>
      </c>
      <c r="B2747" s="11" t="s">
        <v>53</v>
      </c>
      <c r="C2747" s="11" t="s">
        <v>164</v>
      </c>
      <c r="D2747" s="11">
        <v>1</v>
      </c>
      <c r="E2747" s="11" t="s">
        <v>4</v>
      </c>
      <c r="F2747" s="12">
        <v>29901</v>
      </c>
      <c r="G2747" s="12">
        <v>29901</v>
      </c>
      <c r="H2747" s="11" t="str">
        <f t="shared" si="88"/>
        <v>平成6年9月14日</v>
      </c>
      <c r="I2747" s="22">
        <f t="shared" si="89"/>
        <v>34591</v>
      </c>
      <c r="J2747" s="1" t="str">
        <f>"00742130"</f>
        <v>00742130</v>
      </c>
      <c r="K2747" s="1" t="str">
        <f>"１６３０　　　　　　　　　　　　　　　　"</f>
        <v>１６３０　　　　　　　　　　　　　　　　</v>
      </c>
      <c r="L2747" s="1"/>
    </row>
    <row r="2748" spans="1:12" ht="18" customHeight="1" x14ac:dyDescent="0.15">
      <c r="A2748" s="11">
        <v>2868</v>
      </c>
      <c r="B2748" s="11" t="s">
        <v>53</v>
      </c>
      <c r="C2748" s="11" t="s">
        <v>164</v>
      </c>
      <c r="D2748" s="11">
        <v>1</v>
      </c>
      <c r="E2748" s="11" t="s">
        <v>4</v>
      </c>
      <c r="F2748" s="12">
        <v>29901</v>
      </c>
      <c r="G2748" s="12">
        <v>29901</v>
      </c>
      <c r="H2748" s="11" t="str">
        <f t="shared" si="88"/>
        <v>平成6年9月14日</v>
      </c>
      <c r="I2748" s="22">
        <f t="shared" si="89"/>
        <v>34591</v>
      </c>
      <c r="J2748" s="1" t="str">
        <f>"00742132"</f>
        <v>00742132</v>
      </c>
      <c r="K2748" s="1" t="str">
        <f>"１６３１　　　　　　　　　　　　　　　　"</f>
        <v>１６３１　　　　　　　　　　　　　　　　</v>
      </c>
      <c r="L2748" s="1"/>
    </row>
    <row r="2749" spans="1:12" ht="18" customHeight="1" x14ac:dyDescent="0.15">
      <c r="A2749" s="11">
        <v>2869</v>
      </c>
      <c r="B2749" s="11" t="s">
        <v>53</v>
      </c>
      <c r="C2749" s="11" t="s">
        <v>164</v>
      </c>
      <c r="D2749" s="11">
        <v>1</v>
      </c>
      <c r="E2749" s="11" t="s">
        <v>4</v>
      </c>
      <c r="F2749" s="12">
        <v>29901</v>
      </c>
      <c r="G2749" s="12">
        <v>29901</v>
      </c>
      <c r="H2749" s="11" t="str">
        <f t="shared" si="88"/>
        <v>平成6年9月14日</v>
      </c>
      <c r="I2749" s="22">
        <f t="shared" si="89"/>
        <v>34591</v>
      </c>
      <c r="J2749" s="1" t="str">
        <f>"00742134"</f>
        <v>00742134</v>
      </c>
      <c r="K2749" s="1" t="str">
        <f>"１６３２　　　　　　　　　　　　　　　　"</f>
        <v>１６３２　　　　　　　　　　　　　　　　</v>
      </c>
      <c r="L2749" s="1"/>
    </row>
    <row r="2750" spans="1:12" ht="18" customHeight="1" x14ac:dyDescent="0.15">
      <c r="A2750" s="11">
        <v>2870</v>
      </c>
      <c r="B2750" s="11" t="s">
        <v>53</v>
      </c>
      <c r="C2750" s="11" t="s">
        <v>164</v>
      </c>
      <c r="D2750" s="11">
        <v>1</v>
      </c>
      <c r="E2750" s="11" t="s">
        <v>4</v>
      </c>
      <c r="F2750" s="12">
        <v>29901</v>
      </c>
      <c r="G2750" s="12">
        <v>29901</v>
      </c>
      <c r="H2750" s="11" t="str">
        <f t="shared" si="88"/>
        <v>平成6年9月14日</v>
      </c>
      <c r="I2750" s="22">
        <f t="shared" si="89"/>
        <v>34591</v>
      </c>
      <c r="J2750" s="1" t="str">
        <f>"00742136"</f>
        <v>00742136</v>
      </c>
      <c r="K2750" s="1" t="str">
        <f>"１６３３　　　　　　　　　　　　　　　　"</f>
        <v>１６３３　　　　　　　　　　　　　　　　</v>
      </c>
      <c r="L2750" s="1"/>
    </row>
    <row r="2751" spans="1:12" ht="18" customHeight="1" x14ac:dyDescent="0.15">
      <c r="A2751" s="11">
        <v>2871</v>
      </c>
      <c r="B2751" s="11" t="s">
        <v>53</v>
      </c>
      <c r="C2751" s="11" t="s">
        <v>164</v>
      </c>
      <c r="D2751" s="11">
        <v>1</v>
      </c>
      <c r="E2751" s="11" t="s">
        <v>4</v>
      </c>
      <c r="F2751" s="12">
        <v>29901</v>
      </c>
      <c r="G2751" s="12">
        <v>29901</v>
      </c>
      <c r="H2751" s="11" t="str">
        <f t="shared" si="88"/>
        <v>平成6年9月14日</v>
      </c>
      <c r="I2751" s="22">
        <f t="shared" si="89"/>
        <v>34591</v>
      </c>
      <c r="J2751" s="1" t="str">
        <f>"00742138"</f>
        <v>00742138</v>
      </c>
      <c r="K2751" s="1" t="str">
        <f>"１６３４　　　　　　　　　　　　　　　　"</f>
        <v>１６３４　　　　　　　　　　　　　　　　</v>
      </c>
      <c r="L2751" s="1"/>
    </row>
    <row r="2752" spans="1:12" ht="18" customHeight="1" x14ac:dyDescent="0.15">
      <c r="A2752" s="11">
        <v>2872</v>
      </c>
      <c r="B2752" s="11" t="s">
        <v>53</v>
      </c>
      <c r="C2752" s="11" t="s">
        <v>164</v>
      </c>
      <c r="D2752" s="11">
        <v>1</v>
      </c>
      <c r="E2752" s="11" t="s">
        <v>4</v>
      </c>
      <c r="F2752" s="12">
        <v>29901</v>
      </c>
      <c r="G2752" s="12">
        <v>29901</v>
      </c>
      <c r="H2752" s="11" t="str">
        <f t="shared" si="88"/>
        <v>平成6年9月14日</v>
      </c>
      <c r="I2752" s="22">
        <f t="shared" si="89"/>
        <v>34591</v>
      </c>
      <c r="J2752" s="1" t="str">
        <f>"00742140"</f>
        <v>00742140</v>
      </c>
      <c r="K2752" s="1" t="str">
        <f>"１６３５　　　　　　　　　　　　　　　　"</f>
        <v>１６３５　　　　　　　　　　　　　　　　</v>
      </c>
      <c r="L2752" s="1"/>
    </row>
    <row r="2753" spans="1:12" ht="18" customHeight="1" x14ac:dyDescent="0.15">
      <c r="A2753" s="11">
        <v>2873</v>
      </c>
      <c r="B2753" s="11" t="s">
        <v>53</v>
      </c>
      <c r="C2753" s="11" t="s">
        <v>164</v>
      </c>
      <c r="D2753" s="11">
        <v>1</v>
      </c>
      <c r="E2753" s="11" t="s">
        <v>4</v>
      </c>
      <c r="F2753" s="12">
        <v>29901</v>
      </c>
      <c r="G2753" s="12">
        <v>29901</v>
      </c>
      <c r="H2753" s="11" t="str">
        <f t="shared" si="88"/>
        <v>平成6年9月14日</v>
      </c>
      <c r="I2753" s="22">
        <f t="shared" si="89"/>
        <v>34591</v>
      </c>
      <c r="J2753" s="1" t="str">
        <f>"00742142"</f>
        <v>00742142</v>
      </c>
      <c r="K2753" s="1" t="str">
        <f>"１６３６　　　　　　　　　　　　　　　　"</f>
        <v>１６３６　　　　　　　　　　　　　　　　</v>
      </c>
      <c r="L2753" s="1"/>
    </row>
    <row r="2754" spans="1:12" ht="18" customHeight="1" x14ac:dyDescent="0.15">
      <c r="A2754" s="11">
        <v>2874</v>
      </c>
      <c r="B2754" s="11" t="s">
        <v>53</v>
      </c>
      <c r="C2754" s="11" t="s">
        <v>164</v>
      </c>
      <c r="D2754" s="11">
        <v>1</v>
      </c>
      <c r="E2754" s="11" t="s">
        <v>4</v>
      </c>
      <c r="F2754" s="12">
        <v>29901</v>
      </c>
      <c r="G2754" s="12">
        <v>29901</v>
      </c>
      <c r="H2754" s="11" t="str">
        <f t="shared" si="88"/>
        <v>平成6年9月14日</v>
      </c>
      <c r="I2754" s="22">
        <f t="shared" si="89"/>
        <v>34591</v>
      </c>
      <c r="J2754" s="1" t="str">
        <f>"00742144"</f>
        <v>00742144</v>
      </c>
      <c r="K2754" s="1" t="str">
        <f>"１６３７　　　　　　　　　　　　　　　　"</f>
        <v>１６３７　　　　　　　　　　　　　　　　</v>
      </c>
      <c r="L2754" s="1"/>
    </row>
    <row r="2755" spans="1:12" ht="18" customHeight="1" x14ac:dyDescent="0.15">
      <c r="A2755" s="11">
        <v>2875</v>
      </c>
      <c r="B2755" s="11" t="s">
        <v>53</v>
      </c>
      <c r="C2755" s="11" t="s">
        <v>164</v>
      </c>
      <c r="D2755" s="11">
        <v>1</v>
      </c>
      <c r="E2755" s="11" t="s">
        <v>4</v>
      </c>
      <c r="F2755" s="12">
        <v>29901</v>
      </c>
      <c r="G2755" s="12">
        <v>29901</v>
      </c>
      <c r="H2755" s="11" t="str">
        <f t="shared" si="88"/>
        <v>平成6年9月14日</v>
      </c>
      <c r="I2755" s="22">
        <f t="shared" si="89"/>
        <v>34591</v>
      </c>
      <c r="J2755" s="1" t="str">
        <f>"00742146"</f>
        <v>00742146</v>
      </c>
      <c r="K2755" s="1" t="str">
        <f>"１６３８　　　　　　　　　　　　　　　　"</f>
        <v>１６３８　　　　　　　　　　　　　　　　</v>
      </c>
      <c r="L2755" s="1"/>
    </row>
    <row r="2756" spans="1:12" ht="18" customHeight="1" x14ac:dyDescent="0.15">
      <c r="A2756" s="11">
        <v>2876</v>
      </c>
      <c r="B2756" s="11" t="s">
        <v>53</v>
      </c>
      <c r="C2756" s="11" t="s">
        <v>164</v>
      </c>
      <c r="D2756" s="11">
        <v>1</v>
      </c>
      <c r="E2756" s="11" t="s">
        <v>4</v>
      </c>
      <c r="F2756" s="12">
        <v>29901</v>
      </c>
      <c r="G2756" s="12">
        <v>29901</v>
      </c>
      <c r="H2756" s="11" t="str">
        <f t="shared" si="88"/>
        <v>平成6年9月14日</v>
      </c>
      <c r="I2756" s="22">
        <f t="shared" si="89"/>
        <v>34591</v>
      </c>
      <c r="J2756" s="1" t="str">
        <f>"00742148"</f>
        <v>00742148</v>
      </c>
      <c r="K2756" s="1" t="str">
        <f>"１６３９　　　　　　　　　　　　　　　　"</f>
        <v>１６３９　　　　　　　　　　　　　　　　</v>
      </c>
      <c r="L2756" s="1"/>
    </row>
    <row r="2757" spans="1:12" ht="18" customHeight="1" x14ac:dyDescent="0.15">
      <c r="A2757" s="11">
        <v>2877</v>
      </c>
      <c r="B2757" s="11" t="s">
        <v>53</v>
      </c>
      <c r="C2757" s="11" t="s">
        <v>164</v>
      </c>
      <c r="D2757" s="11">
        <v>1</v>
      </c>
      <c r="E2757" s="11" t="s">
        <v>4</v>
      </c>
      <c r="F2757" s="12">
        <v>29901</v>
      </c>
      <c r="G2757" s="12">
        <v>29901</v>
      </c>
      <c r="H2757" s="11" t="str">
        <f t="shared" si="88"/>
        <v>平成6年9月14日</v>
      </c>
      <c r="I2757" s="22">
        <f t="shared" si="89"/>
        <v>34591</v>
      </c>
      <c r="J2757" s="1" t="str">
        <f>"00742150"</f>
        <v>00742150</v>
      </c>
      <c r="K2757" s="1" t="str">
        <f>"１６４０　　　　　　　　　　　　　　　　"</f>
        <v>１６４０　　　　　　　　　　　　　　　　</v>
      </c>
      <c r="L2757" s="1"/>
    </row>
    <row r="2758" spans="1:12" ht="18" customHeight="1" x14ac:dyDescent="0.15">
      <c r="A2758" s="11">
        <v>2878</v>
      </c>
      <c r="B2758" s="11" t="s">
        <v>53</v>
      </c>
      <c r="C2758" s="11" t="s">
        <v>164</v>
      </c>
      <c r="D2758" s="11">
        <v>1</v>
      </c>
      <c r="E2758" s="11" t="s">
        <v>4</v>
      </c>
      <c r="F2758" s="12">
        <v>29901</v>
      </c>
      <c r="G2758" s="12">
        <v>29901</v>
      </c>
      <c r="H2758" s="11" t="str">
        <f t="shared" si="88"/>
        <v>平成6年9月14日</v>
      </c>
      <c r="I2758" s="22">
        <f t="shared" si="89"/>
        <v>34591</v>
      </c>
      <c r="J2758" s="1" t="str">
        <f>"00742152"</f>
        <v>00742152</v>
      </c>
      <c r="K2758" s="1" t="str">
        <f>"１６４１　　　　　　　　　　　　　　　　"</f>
        <v>１６４１　　　　　　　　　　　　　　　　</v>
      </c>
      <c r="L2758" s="1"/>
    </row>
    <row r="2759" spans="1:12" ht="18" customHeight="1" x14ac:dyDescent="0.15">
      <c r="A2759" s="11">
        <v>2879</v>
      </c>
      <c r="B2759" s="11" t="s">
        <v>53</v>
      </c>
      <c r="C2759" s="11" t="s">
        <v>164</v>
      </c>
      <c r="D2759" s="11">
        <v>1</v>
      </c>
      <c r="E2759" s="11" t="s">
        <v>4</v>
      </c>
      <c r="F2759" s="12">
        <v>29901</v>
      </c>
      <c r="G2759" s="12">
        <v>29901</v>
      </c>
      <c r="H2759" s="11" t="str">
        <f t="shared" si="88"/>
        <v>平成6年9月14日</v>
      </c>
      <c r="I2759" s="22">
        <f t="shared" si="89"/>
        <v>34591</v>
      </c>
      <c r="J2759" s="1" t="str">
        <f>"00742154"</f>
        <v>00742154</v>
      </c>
      <c r="K2759" s="1" t="str">
        <f>"１６４２　　　　　　　　　　　　　　　　"</f>
        <v>１６４２　　　　　　　　　　　　　　　　</v>
      </c>
      <c r="L2759" s="1"/>
    </row>
    <row r="2760" spans="1:12" ht="18" customHeight="1" x14ac:dyDescent="0.15">
      <c r="A2760" s="11">
        <v>2880</v>
      </c>
      <c r="B2760" s="11" t="s">
        <v>53</v>
      </c>
      <c r="C2760" s="11" t="s">
        <v>164</v>
      </c>
      <c r="D2760" s="11">
        <v>1</v>
      </c>
      <c r="E2760" s="11" t="s">
        <v>4</v>
      </c>
      <c r="F2760" s="12">
        <v>29901</v>
      </c>
      <c r="G2760" s="12">
        <v>29901</v>
      </c>
      <c r="H2760" s="11" t="str">
        <f t="shared" si="88"/>
        <v>平成6年9月14日</v>
      </c>
      <c r="I2760" s="22">
        <f t="shared" si="89"/>
        <v>34591</v>
      </c>
      <c r="J2760" s="1" t="str">
        <f>"00742156"</f>
        <v>00742156</v>
      </c>
      <c r="K2760" s="1" t="str">
        <f>"１６４３　　　　　　　　　　　　　　　　"</f>
        <v>１６４３　　　　　　　　　　　　　　　　</v>
      </c>
      <c r="L2760" s="1"/>
    </row>
    <row r="2761" spans="1:12" ht="18" customHeight="1" x14ac:dyDescent="0.15">
      <c r="A2761" s="11">
        <v>2881</v>
      </c>
      <c r="B2761" s="11" t="s">
        <v>53</v>
      </c>
      <c r="C2761" s="11" t="s">
        <v>164</v>
      </c>
      <c r="D2761" s="11">
        <v>1</v>
      </c>
      <c r="E2761" s="11" t="s">
        <v>4</v>
      </c>
      <c r="F2761" s="12">
        <v>29901</v>
      </c>
      <c r="G2761" s="12">
        <v>29901</v>
      </c>
      <c r="H2761" s="11" t="str">
        <f t="shared" si="88"/>
        <v>平成6年9月14日</v>
      </c>
      <c r="I2761" s="22">
        <f t="shared" si="89"/>
        <v>34591</v>
      </c>
      <c r="J2761" s="1" t="str">
        <f>"00742159"</f>
        <v>00742159</v>
      </c>
      <c r="K2761" s="1" t="str">
        <f>"１６４４　　　　　　　　　　　　　　　　"</f>
        <v>１６４４　　　　　　　　　　　　　　　　</v>
      </c>
      <c r="L2761" s="1"/>
    </row>
    <row r="2762" spans="1:12" ht="18" customHeight="1" x14ac:dyDescent="0.15">
      <c r="A2762" s="11">
        <v>2882</v>
      </c>
      <c r="B2762" s="11" t="s">
        <v>53</v>
      </c>
      <c r="C2762" s="11" t="s">
        <v>164</v>
      </c>
      <c r="D2762" s="11">
        <v>1</v>
      </c>
      <c r="E2762" s="11" t="s">
        <v>4</v>
      </c>
      <c r="F2762" s="12">
        <v>29901</v>
      </c>
      <c r="G2762" s="12">
        <v>29901</v>
      </c>
      <c r="H2762" s="11" t="str">
        <f t="shared" si="88"/>
        <v>平成6年9月14日</v>
      </c>
      <c r="I2762" s="22">
        <f t="shared" si="89"/>
        <v>34591</v>
      </c>
      <c r="J2762" s="1" t="str">
        <f>"00742161"</f>
        <v>00742161</v>
      </c>
      <c r="K2762" s="1" t="str">
        <f>"１６４５　　　　　　　　　　　　　　　　"</f>
        <v>１６４５　　　　　　　　　　　　　　　　</v>
      </c>
      <c r="L2762" s="1"/>
    </row>
    <row r="2763" spans="1:12" ht="18" customHeight="1" x14ac:dyDescent="0.15">
      <c r="A2763" s="11">
        <v>2883</v>
      </c>
      <c r="B2763" s="11" t="s">
        <v>53</v>
      </c>
      <c r="C2763" s="11" t="s">
        <v>164</v>
      </c>
      <c r="D2763" s="11">
        <v>1</v>
      </c>
      <c r="E2763" s="11" t="s">
        <v>4</v>
      </c>
      <c r="F2763" s="12">
        <v>29901</v>
      </c>
      <c r="G2763" s="12">
        <v>29901</v>
      </c>
      <c r="H2763" s="11" t="str">
        <f t="shared" si="88"/>
        <v>平成6年9月14日</v>
      </c>
      <c r="I2763" s="22">
        <f t="shared" si="89"/>
        <v>34591</v>
      </c>
      <c r="J2763" s="1" t="str">
        <f>"00742163"</f>
        <v>00742163</v>
      </c>
      <c r="K2763" s="1" t="str">
        <f>"１６４６　　　　　　　　　　　　　　　　"</f>
        <v>１６４６　　　　　　　　　　　　　　　　</v>
      </c>
      <c r="L2763" s="1"/>
    </row>
    <row r="2764" spans="1:12" ht="18" customHeight="1" x14ac:dyDescent="0.15">
      <c r="A2764" s="11">
        <v>2884</v>
      </c>
      <c r="B2764" s="11" t="s">
        <v>53</v>
      </c>
      <c r="C2764" s="11" t="s">
        <v>164</v>
      </c>
      <c r="D2764" s="11">
        <v>1</v>
      </c>
      <c r="E2764" s="11" t="s">
        <v>4</v>
      </c>
      <c r="F2764" s="12">
        <v>29901</v>
      </c>
      <c r="G2764" s="12">
        <v>29901</v>
      </c>
      <c r="H2764" s="11" t="str">
        <f t="shared" si="88"/>
        <v>平成6年9月14日</v>
      </c>
      <c r="I2764" s="22">
        <f t="shared" si="89"/>
        <v>34591</v>
      </c>
      <c r="J2764" s="1" t="str">
        <f>"00742164"</f>
        <v>00742164</v>
      </c>
      <c r="K2764" s="1" t="str">
        <f>"１６４７　　　　　　　　　　　　　　　　"</f>
        <v>１６４７　　　　　　　　　　　　　　　　</v>
      </c>
      <c r="L2764" s="1"/>
    </row>
    <row r="2765" spans="1:12" ht="18" customHeight="1" x14ac:dyDescent="0.15">
      <c r="A2765" s="11">
        <v>2885</v>
      </c>
      <c r="B2765" s="11" t="s">
        <v>53</v>
      </c>
      <c r="C2765" s="11" t="s">
        <v>164</v>
      </c>
      <c r="D2765" s="11">
        <v>1</v>
      </c>
      <c r="E2765" s="11" t="s">
        <v>4</v>
      </c>
      <c r="F2765" s="12">
        <v>29901</v>
      </c>
      <c r="G2765" s="12">
        <v>29901</v>
      </c>
      <c r="H2765" s="11" t="str">
        <f t="shared" si="88"/>
        <v>平成6年9月14日</v>
      </c>
      <c r="I2765" s="22">
        <f t="shared" si="89"/>
        <v>34591</v>
      </c>
      <c r="J2765" s="1" t="str">
        <f>"00742167"</f>
        <v>00742167</v>
      </c>
      <c r="K2765" s="1" t="str">
        <f>"１６４８　　　　　　　　　　　　　　　　"</f>
        <v>１６４８　　　　　　　　　　　　　　　　</v>
      </c>
      <c r="L2765" s="1"/>
    </row>
    <row r="2766" spans="1:12" ht="18" customHeight="1" x14ac:dyDescent="0.15">
      <c r="A2766" s="11">
        <v>2886</v>
      </c>
      <c r="B2766" s="11" t="s">
        <v>53</v>
      </c>
      <c r="C2766" s="11" t="s">
        <v>164</v>
      </c>
      <c r="D2766" s="11">
        <v>1</v>
      </c>
      <c r="E2766" s="11" t="s">
        <v>4</v>
      </c>
      <c r="F2766" s="12">
        <v>29901</v>
      </c>
      <c r="G2766" s="12">
        <v>29901</v>
      </c>
      <c r="H2766" s="11" t="str">
        <f t="shared" si="88"/>
        <v>平成6年9月14日</v>
      </c>
      <c r="I2766" s="22">
        <f t="shared" si="89"/>
        <v>34591</v>
      </c>
      <c r="J2766" s="1" t="str">
        <f>"00742169"</f>
        <v>00742169</v>
      </c>
      <c r="K2766" s="1" t="str">
        <f>"１６４９　　　　　　　　　　　　　　　　"</f>
        <v>１６４９　　　　　　　　　　　　　　　　</v>
      </c>
      <c r="L2766" s="1"/>
    </row>
    <row r="2767" spans="1:12" ht="18" customHeight="1" x14ac:dyDescent="0.15">
      <c r="A2767" s="11">
        <v>2887</v>
      </c>
      <c r="B2767" s="11" t="s">
        <v>53</v>
      </c>
      <c r="C2767" s="11" t="s">
        <v>164</v>
      </c>
      <c r="D2767" s="11">
        <v>1</v>
      </c>
      <c r="E2767" s="11" t="s">
        <v>4</v>
      </c>
      <c r="F2767" s="12">
        <v>29901</v>
      </c>
      <c r="G2767" s="12">
        <v>29901</v>
      </c>
      <c r="H2767" s="11" t="str">
        <f t="shared" ref="H2767:H2830" si="90">"平成6年9月14日"</f>
        <v>平成6年9月14日</v>
      </c>
      <c r="I2767" s="22">
        <f t="shared" si="89"/>
        <v>34591</v>
      </c>
      <c r="J2767" s="1" t="str">
        <f>"00742171"</f>
        <v>00742171</v>
      </c>
      <c r="K2767" s="1" t="str">
        <f>"１６５０　　　　　　　　　　　　　　　　"</f>
        <v>１６５０　　　　　　　　　　　　　　　　</v>
      </c>
      <c r="L2767" s="1"/>
    </row>
    <row r="2768" spans="1:12" ht="18" customHeight="1" x14ac:dyDescent="0.15">
      <c r="A2768" s="11">
        <v>2888</v>
      </c>
      <c r="B2768" s="11" t="s">
        <v>53</v>
      </c>
      <c r="C2768" s="11" t="s">
        <v>164</v>
      </c>
      <c r="D2768" s="11">
        <v>1</v>
      </c>
      <c r="E2768" s="11" t="s">
        <v>4</v>
      </c>
      <c r="F2768" s="12">
        <v>29901</v>
      </c>
      <c r="G2768" s="12">
        <v>29901</v>
      </c>
      <c r="H2768" s="11" t="str">
        <f t="shared" si="90"/>
        <v>平成6年9月14日</v>
      </c>
      <c r="I2768" s="22">
        <f t="shared" si="89"/>
        <v>34591</v>
      </c>
      <c r="J2768" s="1" t="str">
        <f>"00742173"</f>
        <v>00742173</v>
      </c>
      <c r="K2768" s="1" t="str">
        <f>"１６５１　　　　　　　　　　　　　　　　"</f>
        <v>１６５１　　　　　　　　　　　　　　　　</v>
      </c>
      <c r="L2768" s="1"/>
    </row>
    <row r="2769" spans="1:12" ht="18" customHeight="1" x14ac:dyDescent="0.15">
      <c r="A2769" s="11">
        <v>2889</v>
      </c>
      <c r="B2769" s="11" t="s">
        <v>53</v>
      </c>
      <c r="C2769" s="11" t="s">
        <v>164</v>
      </c>
      <c r="D2769" s="11">
        <v>1</v>
      </c>
      <c r="E2769" s="11" t="s">
        <v>4</v>
      </c>
      <c r="F2769" s="12">
        <v>29901</v>
      </c>
      <c r="G2769" s="12">
        <v>29901</v>
      </c>
      <c r="H2769" s="11" t="str">
        <f t="shared" si="90"/>
        <v>平成6年9月14日</v>
      </c>
      <c r="I2769" s="22">
        <f t="shared" si="89"/>
        <v>34591</v>
      </c>
      <c r="J2769" s="1" t="str">
        <f>"00742175"</f>
        <v>00742175</v>
      </c>
      <c r="K2769" s="1" t="str">
        <f>"１６５２　　　　　　　　　　　　　　　　"</f>
        <v>１６５２　　　　　　　　　　　　　　　　</v>
      </c>
      <c r="L2769" s="1"/>
    </row>
    <row r="2770" spans="1:12" ht="18" customHeight="1" x14ac:dyDescent="0.15">
      <c r="A2770" s="11">
        <v>2890</v>
      </c>
      <c r="B2770" s="11" t="s">
        <v>53</v>
      </c>
      <c r="C2770" s="11" t="s">
        <v>164</v>
      </c>
      <c r="D2770" s="11">
        <v>1</v>
      </c>
      <c r="E2770" s="11" t="s">
        <v>4</v>
      </c>
      <c r="F2770" s="12">
        <v>29901</v>
      </c>
      <c r="G2770" s="12">
        <v>29901</v>
      </c>
      <c r="H2770" s="11" t="str">
        <f t="shared" si="90"/>
        <v>平成6年9月14日</v>
      </c>
      <c r="I2770" s="22">
        <f t="shared" ref="I2770:I2833" si="91">DATEVALUE(H2770)</f>
        <v>34591</v>
      </c>
      <c r="J2770" s="1" t="str">
        <f>"00742177"</f>
        <v>00742177</v>
      </c>
      <c r="K2770" s="1" t="str">
        <f>"１６５３　　　　　　　　　　　　　　　　"</f>
        <v>１６５３　　　　　　　　　　　　　　　　</v>
      </c>
      <c r="L2770" s="1"/>
    </row>
    <row r="2771" spans="1:12" ht="18" customHeight="1" x14ac:dyDescent="0.15">
      <c r="A2771" s="11">
        <v>2891</v>
      </c>
      <c r="B2771" s="11" t="s">
        <v>53</v>
      </c>
      <c r="C2771" s="11" t="s">
        <v>164</v>
      </c>
      <c r="D2771" s="11">
        <v>1</v>
      </c>
      <c r="E2771" s="11" t="s">
        <v>4</v>
      </c>
      <c r="F2771" s="12">
        <v>29901</v>
      </c>
      <c r="G2771" s="12">
        <v>29901</v>
      </c>
      <c r="H2771" s="11" t="str">
        <f t="shared" si="90"/>
        <v>平成6年9月14日</v>
      </c>
      <c r="I2771" s="22">
        <f t="shared" si="91"/>
        <v>34591</v>
      </c>
      <c r="J2771" s="1" t="str">
        <f>"00742179"</f>
        <v>00742179</v>
      </c>
      <c r="K2771" s="1" t="str">
        <f>"１６５４　　　　　　　　　　　　　　　　"</f>
        <v>１６５４　　　　　　　　　　　　　　　　</v>
      </c>
      <c r="L2771" s="1"/>
    </row>
    <row r="2772" spans="1:12" ht="18" customHeight="1" x14ac:dyDescent="0.15">
      <c r="A2772" s="11">
        <v>2892</v>
      </c>
      <c r="B2772" s="11" t="s">
        <v>53</v>
      </c>
      <c r="C2772" s="11" t="s">
        <v>164</v>
      </c>
      <c r="D2772" s="11">
        <v>1</v>
      </c>
      <c r="E2772" s="11" t="s">
        <v>4</v>
      </c>
      <c r="F2772" s="12">
        <v>29901</v>
      </c>
      <c r="G2772" s="12">
        <v>29901</v>
      </c>
      <c r="H2772" s="11" t="str">
        <f t="shared" si="90"/>
        <v>平成6年9月14日</v>
      </c>
      <c r="I2772" s="22">
        <f t="shared" si="91"/>
        <v>34591</v>
      </c>
      <c r="J2772" s="1" t="str">
        <f>"00742181"</f>
        <v>00742181</v>
      </c>
      <c r="K2772" s="1" t="str">
        <f>"１６５５　　　　　　　　　　　　　　　　"</f>
        <v>１６５５　　　　　　　　　　　　　　　　</v>
      </c>
      <c r="L2772" s="1"/>
    </row>
    <row r="2773" spans="1:12" ht="18" customHeight="1" x14ac:dyDescent="0.15">
      <c r="A2773" s="11">
        <v>2893</v>
      </c>
      <c r="B2773" s="11" t="s">
        <v>53</v>
      </c>
      <c r="C2773" s="11" t="s">
        <v>164</v>
      </c>
      <c r="D2773" s="11">
        <v>1</v>
      </c>
      <c r="E2773" s="11" t="s">
        <v>4</v>
      </c>
      <c r="F2773" s="12">
        <v>29901</v>
      </c>
      <c r="G2773" s="12">
        <v>29901</v>
      </c>
      <c r="H2773" s="11" t="str">
        <f t="shared" si="90"/>
        <v>平成6年9月14日</v>
      </c>
      <c r="I2773" s="22">
        <f t="shared" si="91"/>
        <v>34591</v>
      </c>
      <c r="J2773" s="1" t="str">
        <f>"00742183"</f>
        <v>00742183</v>
      </c>
      <c r="K2773" s="1" t="str">
        <f>"１６５６　　　　　　　　　　　　　　　　"</f>
        <v>１６５６　　　　　　　　　　　　　　　　</v>
      </c>
      <c r="L2773" s="1"/>
    </row>
    <row r="2774" spans="1:12" ht="18" customHeight="1" x14ac:dyDescent="0.15">
      <c r="A2774" s="11">
        <v>2894</v>
      </c>
      <c r="B2774" s="11" t="s">
        <v>53</v>
      </c>
      <c r="C2774" s="11" t="s">
        <v>164</v>
      </c>
      <c r="D2774" s="11">
        <v>1</v>
      </c>
      <c r="E2774" s="11" t="s">
        <v>4</v>
      </c>
      <c r="F2774" s="12">
        <v>29901</v>
      </c>
      <c r="G2774" s="12">
        <v>29901</v>
      </c>
      <c r="H2774" s="11" t="str">
        <f t="shared" si="90"/>
        <v>平成6年9月14日</v>
      </c>
      <c r="I2774" s="22">
        <f t="shared" si="91"/>
        <v>34591</v>
      </c>
      <c r="J2774" s="1" t="str">
        <f>"00742185"</f>
        <v>00742185</v>
      </c>
      <c r="K2774" s="1" t="str">
        <f>"１６５７　　　　　　　　　　　　　　　　"</f>
        <v>１６５７　　　　　　　　　　　　　　　　</v>
      </c>
      <c r="L2774" s="1"/>
    </row>
    <row r="2775" spans="1:12" ht="18" customHeight="1" x14ac:dyDescent="0.15">
      <c r="A2775" s="11">
        <v>2895</v>
      </c>
      <c r="B2775" s="11" t="s">
        <v>53</v>
      </c>
      <c r="C2775" s="11" t="s">
        <v>164</v>
      </c>
      <c r="D2775" s="11">
        <v>1</v>
      </c>
      <c r="E2775" s="11" t="s">
        <v>4</v>
      </c>
      <c r="F2775" s="12">
        <v>29901</v>
      </c>
      <c r="G2775" s="12">
        <v>29901</v>
      </c>
      <c r="H2775" s="11" t="str">
        <f t="shared" si="90"/>
        <v>平成6年9月14日</v>
      </c>
      <c r="I2775" s="22">
        <f t="shared" si="91"/>
        <v>34591</v>
      </c>
      <c r="J2775" s="1" t="str">
        <f>"00742187"</f>
        <v>00742187</v>
      </c>
      <c r="K2775" s="1" t="str">
        <f>"１６５８　　　　　　　　　　　　　　　　"</f>
        <v>１６５８　　　　　　　　　　　　　　　　</v>
      </c>
      <c r="L2775" s="1"/>
    </row>
    <row r="2776" spans="1:12" ht="18" customHeight="1" x14ac:dyDescent="0.15">
      <c r="A2776" s="11">
        <v>2896</v>
      </c>
      <c r="B2776" s="11" t="s">
        <v>53</v>
      </c>
      <c r="C2776" s="11" t="s">
        <v>164</v>
      </c>
      <c r="D2776" s="11">
        <v>1</v>
      </c>
      <c r="E2776" s="11" t="s">
        <v>4</v>
      </c>
      <c r="F2776" s="12">
        <v>29901</v>
      </c>
      <c r="G2776" s="12">
        <v>29901</v>
      </c>
      <c r="H2776" s="11" t="str">
        <f t="shared" si="90"/>
        <v>平成6年9月14日</v>
      </c>
      <c r="I2776" s="22">
        <f t="shared" si="91"/>
        <v>34591</v>
      </c>
      <c r="J2776" s="1" t="str">
        <f>"00742189"</f>
        <v>00742189</v>
      </c>
      <c r="K2776" s="1" t="str">
        <f>"１６５９　　　　　　　　　　　　　　　　"</f>
        <v>１６５９　　　　　　　　　　　　　　　　</v>
      </c>
      <c r="L2776" s="1"/>
    </row>
    <row r="2777" spans="1:12" ht="18" customHeight="1" x14ac:dyDescent="0.15">
      <c r="A2777" s="11">
        <v>2897</v>
      </c>
      <c r="B2777" s="11" t="s">
        <v>53</v>
      </c>
      <c r="C2777" s="11" t="s">
        <v>164</v>
      </c>
      <c r="D2777" s="11">
        <v>1</v>
      </c>
      <c r="E2777" s="11" t="s">
        <v>4</v>
      </c>
      <c r="F2777" s="12">
        <v>29901</v>
      </c>
      <c r="G2777" s="12">
        <v>29901</v>
      </c>
      <c r="H2777" s="11" t="str">
        <f t="shared" si="90"/>
        <v>平成6年9月14日</v>
      </c>
      <c r="I2777" s="22">
        <f t="shared" si="91"/>
        <v>34591</v>
      </c>
      <c r="J2777" s="1" t="str">
        <f>"00742191"</f>
        <v>00742191</v>
      </c>
      <c r="K2777" s="1" t="str">
        <f>"１６６０　　　　　　　　　　　　　　　　"</f>
        <v>１６６０　　　　　　　　　　　　　　　　</v>
      </c>
      <c r="L2777" s="1"/>
    </row>
    <row r="2778" spans="1:12" ht="18" customHeight="1" x14ac:dyDescent="0.15">
      <c r="A2778" s="11">
        <v>2898</v>
      </c>
      <c r="B2778" s="11" t="s">
        <v>53</v>
      </c>
      <c r="C2778" s="11" t="s">
        <v>164</v>
      </c>
      <c r="D2778" s="11">
        <v>1</v>
      </c>
      <c r="E2778" s="11" t="s">
        <v>4</v>
      </c>
      <c r="F2778" s="12">
        <v>29901</v>
      </c>
      <c r="G2778" s="12">
        <v>29901</v>
      </c>
      <c r="H2778" s="11" t="str">
        <f t="shared" si="90"/>
        <v>平成6年9月14日</v>
      </c>
      <c r="I2778" s="22">
        <f t="shared" si="91"/>
        <v>34591</v>
      </c>
      <c r="J2778" s="1" t="str">
        <f>"00742193"</f>
        <v>00742193</v>
      </c>
      <c r="K2778" s="1" t="str">
        <f>"１６６１　　　　　　　　　　　　　　　　"</f>
        <v>１６６１　　　　　　　　　　　　　　　　</v>
      </c>
      <c r="L2778" s="1"/>
    </row>
    <row r="2779" spans="1:12" ht="18" customHeight="1" x14ac:dyDescent="0.15">
      <c r="A2779" s="11">
        <v>2899</v>
      </c>
      <c r="B2779" s="11" t="s">
        <v>53</v>
      </c>
      <c r="C2779" s="11" t="s">
        <v>164</v>
      </c>
      <c r="D2779" s="11">
        <v>1</v>
      </c>
      <c r="E2779" s="11" t="s">
        <v>4</v>
      </c>
      <c r="F2779" s="12">
        <v>29901</v>
      </c>
      <c r="G2779" s="12">
        <v>29901</v>
      </c>
      <c r="H2779" s="11" t="str">
        <f t="shared" si="90"/>
        <v>平成6年9月14日</v>
      </c>
      <c r="I2779" s="22">
        <f t="shared" si="91"/>
        <v>34591</v>
      </c>
      <c r="J2779" s="1" t="str">
        <f>"00742195"</f>
        <v>00742195</v>
      </c>
      <c r="K2779" s="1" t="str">
        <f>"１６６２　　　　　　　　　　　　　　　　"</f>
        <v>１６６２　　　　　　　　　　　　　　　　</v>
      </c>
      <c r="L2779" s="1"/>
    </row>
    <row r="2780" spans="1:12" ht="18" customHeight="1" x14ac:dyDescent="0.15">
      <c r="A2780" s="11">
        <v>2900</v>
      </c>
      <c r="B2780" s="11" t="s">
        <v>53</v>
      </c>
      <c r="C2780" s="11" t="s">
        <v>164</v>
      </c>
      <c r="D2780" s="11">
        <v>1</v>
      </c>
      <c r="E2780" s="11" t="s">
        <v>4</v>
      </c>
      <c r="F2780" s="12">
        <v>29901</v>
      </c>
      <c r="G2780" s="12">
        <v>29901</v>
      </c>
      <c r="H2780" s="11" t="str">
        <f t="shared" si="90"/>
        <v>平成6年9月14日</v>
      </c>
      <c r="I2780" s="22">
        <f t="shared" si="91"/>
        <v>34591</v>
      </c>
      <c r="J2780" s="1" t="str">
        <f>"00742197"</f>
        <v>00742197</v>
      </c>
      <c r="K2780" s="1" t="str">
        <f>"１６６３　　　　　　　　　　　　　　　　"</f>
        <v>１６６３　　　　　　　　　　　　　　　　</v>
      </c>
      <c r="L2780" s="1"/>
    </row>
    <row r="2781" spans="1:12" ht="18" customHeight="1" x14ac:dyDescent="0.15">
      <c r="A2781" s="11">
        <v>2901</v>
      </c>
      <c r="B2781" s="11" t="s">
        <v>53</v>
      </c>
      <c r="C2781" s="11" t="s">
        <v>164</v>
      </c>
      <c r="D2781" s="11">
        <v>1</v>
      </c>
      <c r="E2781" s="11" t="s">
        <v>4</v>
      </c>
      <c r="F2781" s="12">
        <v>29901</v>
      </c>
      <c r="G2781" s="12">
        <v>29901</v>
      </c>
      <c r="H2781" s="11" t="str">
        <f t="shared" si="90"/>
        <v>平成6年9月14日</v>
      </c>
      <c r="I2781" s="22">
        <f t="shared" si="91"/>
        <v>34591</v>
      </c>
      <c r="J2781" s="1" t="str">
        <f>"00742199"</f>
        <v>00742199</v>
      </c>
      <c r="K2781" s="1" t="str">
        <f>"１６６４　　　　　　　　　　　　　　　　"</f>
        <v>１６６４　　　　　　　　　　　　　　　　</v>
      </c>
      <c r="L2781" s="1"/>
    </row>
    <row r="2782" spans="1:12" ht="18" customHeight="1" x14ac:dyDescent="0.15">
      <c r="A2782" s="11">
        <v>2902</v>
      </c>
      <c r="B2782" s="11" t="s">
        <v>53</v>
      </c>
      <c r="C2782" s="11" t="s">
        <v>164</v>
      </c>
      <c r="D2782" s="11">
        <v>1</v>
      </c>
      <c r="E2782" s="11" t="s">
        <v>4</v>
      </c>
      <c r="F2782" s="12">
        <v>29901</v>
      </c>
      <c r="G2782" s="12">
        <v>29901</v>
      </c>
      <c r="H2782" s="11" t="str">
        <f t="shared" si="90"/>
        <v>平成6年9月14日</v>
      </c>
      <c r="I2782" s="22">
        <f t="shared" si="91"/>
        <v>34591</v>
      </c>
      <c r="J2782" s="1" t="str">
        <f>"00742201"</f>
        <v>00742201</v>
      </c>
      <c r="K2782" s="1" t="str">
        <f>"１６６５　　　　　　　　　　　　　　　　"</f>
        <v>１６６５　　　　　　　　　　　　　　　　</v>
      </c>
      <c r="L2782" s="1"/>
    </row>
    <row r="2783" spans="1:12" ht="18" customHeight="1" x14ac:dyDescent="0.15">
      <c r="A2783" s="11">
        <v>2903</v>
      </c>
      <c r="B2783" s="11" t="s">
        <v>53</v>
      </c>
      <c r="C2783" s="11" t="s">
        <v>164</v>
      </c>
      <c r="D2783" s="11">
        <v>1</v>
      </c>
      <c r="E2783" s="11" t="s">
        <v>4</v>
      </c>
      <c r="F2783" s="12">
        <v>29901</v>
      </c>
      <c r="G2783" s="12">
        <v>29901</v>
      </c>
      <c r="H2783" s="11" t="str">
        <f t="shared" si="90"/>
        <v>平成6年9月14日</v>
      </c>
      <c r="I2783" s="22">
        <f t="shared" si="91"/>
        <v>34591</v>
      </c>
      <c r="J2783" s="1" t="str">
        <f>"00742203"</f>
        <v>00742203</v>
      </c>
      <c r="K2783" s="1" t="str">
        <f>"１６６６　　　　　　　　　　　　　　　　"</f>
        <v>１６６６　　　　　　　　　　　　　　　　</v>
      </c>
      <c r="L2783" s="1"/>
    </row>
    <row r="2784" spans="1:12" ht="18" customHeight="1" x14ac:dyDescent="0.15">
      <c r="A2784" s="11">
        <v>2904</v>
      </c>
      <c r="B2784" s="11" t="s">
        <v>53</v>
      </c>
      <c r="C2784" s="11" t="s">
        <v>164</v>
      </c>
      <c r="D2784" s="11">
        <v>1</v>
      </c>
      <c r="E2784" s="11" t="s">
        <v>4</v>
      </c>
      <c r="F2784" s="12">
        <v>29901</v>
      </c>
      <c r="G2784" s="12">
        <v>29901</v>
      </c>
      <c r="H2784" s="11" t="str">
        <f t="shared" si="90"/>
        <v>平成6年9月14日</v>
      </c>
      <c r="I2784" s="22">
        <f t="shared" si="91"/>
        <v>34591</v>
      </c>
      <c r="J2784" s="1" t="str">
        <f>"00742205"</f>
        <v>00742205</v>
      </c>
      <c r="K2784" s="1" t="str">
        <f>"１６６７　　　　　　　　　　　　　　　　"</f>
        <v>１６６７　　　　　　　　　　　　　　　　</v>
      </c>
      <c r="L2784" s="1"/>
    </row>
    <row r="2785" spans="1:12" ht="18" customHeight="1" x14ac:dyDescent="0.15">
      <c r="A2785" s="11">
        <v>2905</v>
      </c>
      <c r="B2785" s="11" t="s">
        <v>53</v>
      </c>
      <c r="C2785" s="11" t="s">
        <v>164</v>
      </c>
      <c r="D2785" s="11">
        <v>1</v>
      </c>
      <c r="E2785" s="11" t="s">
        <v>4</v>
      </c>
      <c r="F2785" s="12">
        <v>29901</v>
      </c>
      <c r="G2785" s="12">
        <v>29901</v>
      </c>
      <c r="H2785" s="11" t="str">
        <f t="shared" si="90"/>
        <v>平成6年9月14日</v>
      </c>
      <c r="I2785" s="22">
        <f t="shared" si="91"/>
        <v>34591</v>
      </c>
      <c r="J2785" s="1" t="str">
        <f>"00742207"</f>
        <v>00742207</v>
      </c>
      <c r="K2785" s="1" t="str">
        <f>"１６６８　　　　　　　　　　　　　　　　"</f>
        <v>１６６８　　　　　　　　　　　　　　　　</v>
      </c>
      <c r="L2785" s="1"/>
    </row>
    <row r="2786" spans="1:12" ht="18" customHeight="1" x14ac:dyDescent="0.15">
      <c r="A2786" s="11">
        <v>2906</v>
      </c>
      <c r="B2786" s="11" t="s">
        <v>53</v>
      </c>
      <c r="C2786" s="11" t="s">
        <v>164</v>
      </c>
      <c r="D2786" s="11">
        <v>1</v>
      </c>
      <c r="E2786" s="11" t="s">
        <v>4</v>
      </c>
      <c r="F2786" s="12">
        <v>29901</v>
      </c>
      <c r="G2786" s="12">
        <v>29901</v>
      </c>
      <c r="H2786" s="11" t="str">
        <f t="shared" si="90"/>
        <v>平成6年9月14日</v>
      </c>
      <c r="I2786" s="22">
        <f t="shared" si="91"/>
        <v>34591</v>
      </c>
      <c r="J2786" s="1" t="str">
        <f>"00742209"</f>
        <v>00742209</v>
      </c>
      <c r="K2786" s="1" t="str">
        <f>"１６６９　　　　　　　　　　　　　　　　"</f>
        <v>１６６９　　　　　　　　　　　　　　　　</v>
      </c>
      <c r="L2786" s="1"/>
    </row>
    <row r="2787" spans="1:12" ht="18" customHeight="1" x14ac:dyDescent="0.15">
      <c r="A2787" s="11">
        <v>2907</v>
      </c>
      <c r="B2787" s="11" t="s">
        <v>53</v>
      </c>
      <c r="C2787" s="11" t="s">
        <v>164</v>
      </c>
      <c r="D2787" s="11">
        <v>1</v>
      </c>
      <c r="E2787" s="11" t="s">
        <v>4</v>
      </c>
      <c r="F2787" s="12">
        <v>29901</v>
      </c>
      <c r="G2787" s="12">
        <v>29901</v>
      </c>
      <c r="H2787" s="11" t="str">
        <f t="shared" si="90"/>
        <v>平成6年9月14日</v>
      </c>
      <c r="I2787" s="22">
        <f t="shared" si="91"/>
        <v>34591</v>
      </c>
      <c r="J2787" s="1" t="str">
        <f>"00742211"</f>
        <v>00742211</v>
      </c>
      <c r="K2787" s="1" t="str">
        <f>"１６７０　　　　　　　　　　　　　　　　"</f>
        <v>１６７０　　　　　　　　　　　　　　　　</v>
      </c>
      <c r="L2787" s="1"/>
    </row>
    <row r="2788" spans="1:12" ht="18" customHeight="1" x14ac:dyDescent="0.15">
      <c r="A2788" s="11">
        <v>2908</v>
      </c>
      <c r="B2788" s="11" t="s">
        <v>53</v>
      </c>
      <c r="C2788" s="11" t="s">
        <v>164</v>
      </c>
      <c r="D2788" s="11">
        <v>1</v>
      </c>
      <c r="E2788" s="11" t="s">
        <v>4</v>
      </c>
      <c r="F2788" s="12">
        <v>29901</v>
      </c>
      <c r="G2788" s="12">
        <v>29901</v>
      </c>
      <c r="H2788" s="11" t="str">
        <f t="shared" si="90"/>
        <v>平成6年9月14日</v>
      </c>
      <c r="I2788" s="22">
        <f t="shared" si="91"/>
        <v>34591</v>
      </c>
      <c r="J2788" s="1" t="str">
        <f>"00742213"</f>
        <v>00742213</v>
      </c>
      <c r="K2788" s="1" t="str">
        <f>"１６７１　　　　　　　　　　　　　　　　"</f>
        <v>１６７１　　　　　　　　　　　　　　　　</v>
      </c>
      <c r="L2788" s="1"/>
    </row>
    <row r="2789" spans="1:12" ht="18" customHeight="1" x14ac:dyDescent="0.15">
      <c r="A2789" s="11">
        <v>2909</v>
      </c>
      <c r="B2789" s="11" t="s">
        <v>53</v>
      </c>
      <c r="C2789" s="11" t="s">
        <v>164</v>
      </c>
      <c r="D2789" s="11">
        <v>1</v>
      </c>
      <c r="E2789" s="11" t="s">
        <v>4</v>
      </c>
      <c r="F2789" s="12">
        <v>29901</v>
      </c>
      <c r="G2789" s="12">
        <v>29901</v>
      </c>
      <c r="H2789" s="11" t="str">
        <f t="shared" si="90"/>
        <v>平成6年9月14日</v>
      </c>
      <c r="I2789" s="22">
        <f t="shared" si="91"/>
        <v>34591</v>
      </c>
      <c r="J2789" s="1" t="str">
        <f>"00742214"</f>
        <v>00742214</v>
      </c>
      <c r="K2789" s="1" t="str">
        <f>"１６７２　　　　　　　　　　　　　　　　"</f>
        <v>１６７２　　　　　　　　　　　　　　　　</v>
      </c>
      <c r="L2789" s="1"/>
    </row>
    <row r="2790" spans="1:12" ht="18" customHeight="1" x14ac:dyDescent="0.15">
      <c r="A2790" s="11">
        <v>2910</v>
      </c>
      <c r="B2790" s="11" t="s">
        <v>53</v>
      </c>
      <c r="C2790" s="11" t="s">
        <v>164</v>
      </c>
      <c r="D2790" s="11">
        <v>1</v>
      </c>
      <c r="E2790" s="11" t="s">
        <v>4</v>
      </c>
      <c r="F2790" s="12">
        <v>29901</v>
      </c>
      <c r="G2790" s="12">
        <v>29901</v>
      </c>
      <c r="H2790" s="11" t="str">
        <f t="shared" si="90"/>
        <v>平成6年9月14日</v>
      </c>
      <c r="I2790" s="22">
        <f t="shared" si="91"/>
        <v>34591</v>
      </c>
      <c r="J2790" s="1" t="str">
        <f>"00742216"</f>
        <v>00742216</v>
      </c>
      <c r="K2790" s="1" t="str">
        <f>"１６７３　　　　　　　　　　　　　　　　"</f>
        <v>１６７３　　　　　　　　　　　　　　　　</v>
      </c>
      <c r="L2790" s="1"/>
    </row>
    <row r="2791" spans="1:12" ht="18" customHeight="1" x14ac:dyDescent="0.15">
      <c r="A2791" s="11">
        <v>2911</v>
      </c>
      <c r="B2791" s="11" t="s">
        <v>53</v>
      </c>
      <c r="C2791" s="11" t="s">
        <v>164</v>
      </c>
      <c r="D2791" s="11">
        <v>1</v>
      </c>
      <c r="E2791" s="11" t="s">
        <v>4</v>
      </c>
      <c r="F2791" s="12">
        <v>29901</v>
      </c>
      <c r="G2791" s="12">
        <v>29901</v>
      </c>
      <c r="H2791" s="11" t="str">
        <f t="shared" si="90"/>
        <v>平成6年9月14日</v>
      </c>
      <c r="I2791" s="22">
        <f t="shared" si="91"/>
        <v>34591</v>
      </c>
      <c r="J2791" s="1" t="str">
        <f>"00742218"</f>
        <v>00742218</v>
      </c>
      <c r="K2791" s="1" t="str">
        <f>"１６７４　　　　　　　　　　　　　　　　"</f>
        <v>１６７４　　　　　　　　　　　　　　　　</v>
      </c>
      <c r="L2791" s="1"/>
    </row>
    <row r="2792" spans="1:12" ht="18" customHeight="1" x14ac:dyDescent="0.15">
      <c r="A2792" s="11">
        <v>2912</v>
      </c>
      <c r="B2792" s="11" t="s">
        <v>53</v>
      </c>
      <c r="C2792" s="11" t="s">
        <v>164</v>
      </c>
      <c r="D2792" s="11">
        <v>1</v>
      </c>
      <c r="E2792" s="11" t="s">
        <v>4</v>
      </c>
      <c r="F2792" s="12">
        <v>29901</v>
      </c>
      <c r="G2792" s="12">
        <v>29901</v>
      </c>
      <c r="H2792" s="11" t="str">
        <f t="shared" si="90"/>
        <v>平成6年9月14日</v>
      </c>
      <c r="I2792" s="22">
        <f t="shared" si="91"/>
        <v>34591</v>
      </c>
      <c r="J2792" s="1" t="str">
        <f>"00742220"</f>
        <v>00742220</v>
      </c>
      <c r="K2792" s="1" t="str">
        <f>"１６７５　　　　　　　　　　　　　　　　"</f>
        <v>１６７５　　　　　　　　　　　　　　　　</v>
      </c>
      <c r="L2792" s="1"/>
    </row>
    <row r="2793" spans="1:12" ht="18" customHeight="1" x14ac:dyDescent="0.15">
      <c r="A2793" s="11">
        <v>2913</v>
      </c>
      <c r="B2793" s="11" t="s">
        <v>53</v>
      </c>
      <c r="C2793" s="11" t="s">
        <v>164</v>
      </c>
      <c r="D2793" s="11">
        <v>1</v>
      </c>
      <c r="E2793" s="11" t="s">
        <v>4</v>
      </c>
      <c r="F2793" s="12">
        <v>29901</v>
      </c>
      <c r="G2793" s="12">
        <v>29901</v>
      </c>
      <c r="H2793" s="11" t="str">
        <f t="shared" si="90"/>
        <v>平成6年9月14日</v>
      </c>
      <c r="I2793" s="22">
        <f t="shared" si="91"/>
        <v>34591</v>
      </c>
      <c r="J2793" s="1" t="str">
        <f>"00742222"</f>
        <v>00742222</v>
      </c>
      <c r="K2793" s="1" t="str">
        <f>"１６７６　　　　　　　　　　　　　　　　"</f>
        <v>１６７６　　　　　　　　　　　　　　　　</v>
      </c>
      <c r="L2793" s="1"/>
    </row>
    <row r="2794" spans="1:12" ht="18" customHeight="1" x14ac:dyDescent="0.15">
      <c r="A2794" s="11">
        <v>2914</v>
      </c>
      <c r="B2794" s="11" t="s">
        <v>53</v>
      </c>
      <c r="C2794" s="11" t="s">
        <v>164</v>
      </c>
      <c r="D2794" s="11">
        <v>1</v>
      </c>
      <c r="E2794" s="11" t="s">
        <v>4</v>
      </c>
      <c r="F2794" s="12">
        <v>29901</v>
      </c>
      <c r="G2794" s="12">
        <v>29901</v>
      </c>
      <c r="H2794" s="11" t="str">
        <f t="shared" si="90"/>
        <v>平成6年9月14日</v>
      </c>
      <c r="I2794" s="22">
        <f t="shared" si="91"/>
        <v>34591</v>
      </c>
      <c r="J2794" s="1" t="str">
        <f>"00742224"</f>
        <v>00742224</v>
      </c>
      <c r="K2794" s="1" t="str">
        <f>"１６７７　　　　　　　　　　　　　　　　"</f>
        <v>１６７７　　　　　　　　　　　　　　　　</v>
      </c>
      <c r="L2794" s="1"/>
    </row>
    <row r="2795" spans="1:12" ht="18" customHeight="1" x14ac:dyDescent="0.15">
      <c r="A2795" s="11">
        <v>2915</v>
      </c>
      <c r="B2795" s="11" t="s">
        <v>53</v>
      </c>
      <c r="C2795" s="11" t="s">
        <v>164</v>
      </c>
      <c r="D2795" s="11">
        <v>1</v>
      </c>
      <c r="E2795" s="11" t="s">
        <v>4</v>
      </c>
      <c r="F2795" s="12">
        <v>29901</v>
      </c>
      <c r="G2795" s="12">
        <v>29901</v>
      </c>
      <c r="H2795" s="11" t="str">
        <f t="shared" si="90"/>
        <v>平成6年9月14日</v>
      </c>
      <c r="I2795" s="22">
        <f t="shared" si="91"/>
        <v>34591</v>
      </c>
      <c r="J2795" s="1" t="str">
        <f>"00742226"</f>
        <v>00742226</v>
      </c>
      <c r="K2795" s="1" t="str">
        <f>"１６７８　　　　　　　　　　　　　　　　"</f>
        <v>１６７８　　　　　　　　　　　　　　　　</v>
      </c>
      <c r="L2795" s="1"/>
    </row>
    <row r="2796" spans="1:12" ht="18" customHeight="1" x14ac:dyDescent="0.15">
      <c r="A2796" s="11">
        <v>2916</v>
      </c>
      <c r="B2796" s="11" t="s">
        <v>53</v>
      </c>
      <c r="C2796" s="11" t="s">
        <v>164</v>
      </c>
      <c r="D2796" s="11">
        <v>1</v>
      </c>
      <c r="E2796" s="11" t="s">
        <v>4</v>
      </c>
      <c r="F2796" s="12">
        <v>29901</v>
      </c>
      <c r="G2796" s="12">
        <v>29901</v>
      </c>
      <c r="H2796" s="11" t="str">
        <f t="shared" si="90"/>
        <v>平成6年9月14日</v>
      </c>
      <c r="I2796" s="22">
        <f t="shared" si="91"/>
        <v>34591</v>
      </c>
      <c r="J2796" s="1" t="str">
        <f>"00742228"</f>
        <v>00742228</v>
      </c>
      <c r="K2796" s="1" t="str">
        <f>"１６７９　　　　　　　　　　　　　　　　"</f>
        <v>１６７９　　　　　　　　　　　　　　　　</v>
      </c>
      <c r="L2796" s="1"/>
    </row>
    <row r="2797" spans="1:12" ht="18" customHeight="1" x14ac:dyDescent="0.15">
      <c r="A2797" s="11">
        <v>2917</v>
      </c>
      <c r="B2797" s="11" t="s">
        <v>53</v>
      </c>
      <c r="C2797" s="11" t="s">
        <v>164</v>
      </c>
      <c r="D2797" s="11">
        <v>1</v>
      </c>
      <c r="E2797" s="11" t="s">
        <v>4</v>
      </c>
      <c r="F2797" s="12">
        <v>29901</v>
      </c>
      <c r="G2797" s="12">
        <v>29901</v>
      </c>
      <c r="H2797" s="11" t="str">
        <f t="shared" si="90"/>
        <v>平成6年9月14日</v>
      </c>
      <c r="I2797" s="22">
        <f t="shared" si="91"/>
        <v>34591</v>
      </c>
      <c r="J2797" s="1" t="str">
        <f>"00742230"</f>
        <v>00742230</v>
      </c>
      <c r="K2797" s="1" t="str">
        <f>"１６８０　　　　　　　　　　　　　　　　"</f>
        <v>１６８０　　　　　　　　　　　　　　　　</v>
      </c>
      <c r="L2797" s="1"/>
    </row>
    <row r="2798" spans="1:12" ht="18" customHeight="1" x14ac:dyDescent="0.15">
      <c r="A2798" s="11">
        <v>2918</v>
      </c>
      <c r="B2798" s="11" t="s">
        <v>53</v>
      </c>
      <c r="C2798" s="11" t="s">
        <v>164</v>
      </c>
      <c r="D2798" s="11">
        <v>1</v>
      </c>
      <c r="E2798" s="11" t="s">
        <v>4</v>
      </c>
      <c r="F2798" s="12">
        <v>29901</v>
      </c>
      <c r="G2798" s="12">
        <v>29901</v>
      </c>
      <c r="H2798" s="11" t="str">
        <f t="shared" si="90"/>
        <v>平成6年9月14日</v>
      </c>
      <c r="I2798" s="22">
        <f t="shared" si="91"/>
        <v>34591</v>
      </c>
      <c r="J2798" s="1" t="str">
        <f>"00742232"</f>
        <v>00742232</v>
      </c>
      <c r="K2798" s="1" t="str">
        <f>"１６８１　　　　　　　　　　　　　　　　"</f>
        <v>１６８１　　　　　　　　　　　　　　　　</v>
      </c>
      <c r="L2798" s="1"/>
    </row>
    <row r="2799" spans="1:12" ht="18" customHeight="1" x14ac:dyDescent="0.15">
      <c r="A2799" s="11">
        <v>2919</v>
      </c>
      <c r="B2799" s="11" t="s">
        <v>53</v>
      </c>
      <c r="C2799" s="11" t="s">
        <v>164</v>
      </c>
      <c r="D2799" s="11">
        <v>1</v>
      </c>
      <c r="E2799" s="11" t="s">
        <v>4</v>
      </c>
      <c r="F2799" s="12">
        <v>29901</v>
      </c>
      <c r="G2799" s="12">
        <v>29901</v>
      </c>
      <c r="H2799" s="11" t="str">
        <f t="shared" si="90"/>
        <v>平成6年9月14日</v>
      </c>
      <c r="I2799" s="22">
        <f t="shared" si="91"/>
        <v>34591</v>
      </c>
      <c r="J2799" s="1" t="str">
        <f>"00742234"</f>
        <v>00742234</v>
      </c>
      <c r="K2799" s="1" t="str">
        <f>"１６８２　　　　　　　　　　　　　　　　"</f>
        <v>１６８２　　　　　　　　　　　　　　　　</v>
      </c>
      <c r="L2799" s="1"/>
    </row>
    <row r="2800" spans="1:12" ht="18" customHeight="1" x14ac:dyDescent="0.15">
      <c r="A2800" s="11">
        <v>2920</v>
      </c>
      <c r="B2800" s="11" t="s">
        <v>53</v>
      </c>
      <c r="C2800" s="11" t="s">
        <v>164</v>
      </c>
      <c r="D2800" s="11">
        <v>1</v>
      </c>
      <c r="E2800" s="11" t="s">
        <v>4</v>
      </c>
      <c r="F2800" s="12">
        <v>29901</v>
      </c>
      <c r="G2800" s="12">
        <v>29901</v>
      </c>
      <c r="H2800" s="11" t="str">
        <f t="shared" si="90"/>
        <v>平成6年9月14日</v>
      </c>
      <c r="I2800" s="22">
        <f t="shared" si="91"/>
        <v>34591</v>
      </c>
      <c r="J2800" s="1" t="str">
        <f>"00742236"</f>
        <v>00742236</v>
      </c>
      <c r="K2800" s="1" t="str">
        <f>"１６８３　　　　　　　　　　　　　　　　"</f>
        <v>１６８３　　　　　　　　　　　　　　　　</v>
      </c>
      <c r="L2800" s="1"/>
    </row>
    <row r="2801" spans="1:12" ht="18" customHeight="1" x14ac:dyDescent="0.15">
      <c r="A2801" s="11">
        <v>2921</v>
      </c>
      <c r="B2801" s="11" t="s">
        <v>53</v>
      </c>
      <c r="C2801" s="11" t="s">
        <v>164</v>
      </c>
      <c r="D2801" s="11">
        <v>1</v>
      </c>
      <c r="E2801" s="11" t="s">
        <v>4</v>
      </c>
      <c r="F2801" s="12">
        <v>29901</v>
      </c>
      <c r="G2801" s="12">
        <v>29901</v>
      </c>
      <c r="H2801" s="11" t="str">
        <f t="shared" si="90"/>
        <v>平成6年9月14日</v>
      </c>
      <c r="I2801" s="22">
        <f t="shared" si="91"/>
        <v>34591</v>
      </c>
      <c r="J2801" s="1" t="str">
        <f>"00742238"</f>
        <v>00742238</v>
      </c>
      <c r="K2801" s="1" t="str">
        <f>"１６８４　　　　　　　　　　　　　　　　"</f>
        <v>１６８４　　　　　　　　　　　　　　　　</v>
      </c>
      <c r="L2801" s="1"/>
    </row>
    <row r="2802" spans="1:12" ht="18" customHeight="1" x14ac:dyDescent="0.15">
      <c r="A2802" s="11">
        <v>2922</v>
      </c>
      <c r="B2802" s="11" t="s">
        <v>53</v>
      </c>
      <c r="C2802" s="11" t="s">
        <v>164</v>
      </c>
      <c r="D2802" s="11">
        <v>1</v>
      </c>
      <c r="E2802" s="11" t="s">
        <v>4</v>
      </c>
      <c r="F2802" s="12">
        <v>29901</v>
      </c>
      <c r="G2802" s="12">
        <v>29901</v>
      </c>
      <c r="H2802" s="11" t="str">
        <f t="shared" si="90"/>
        <v>平成6年9月14日</v>
      </c>
      <c r="I2802" s="22">
        <f t="shared" si="91"/>
        <v>34591</v>
      </c>
      <c r="J2802" s="1" t="str">
        <f>"00742241"</f>
        <v>00742241</v>
      </c>
      <c r="K2802" s="1" t="str">
        <f>"１６８５　　　　　　　　　　　　　　　　"</f>
        <v>１６８５　　　　　　　　　　　　　　　　</v>
      </c>
      <c r="L2802" s="1"/>
    </row>
    <row r="2803" spans="1:12" ht="18" customHeight="1" x14ac:dyDescent="0.15">
      <c r="A2803" s="11">
        <v>2923</v>
      </c>
      <c r="B2803" s="11" t="s">
        <v>53</v>
      </c>
      <c r="C2803" s="11" t="s">
        <v>164</v>
      </c>
      <c r="D2803" s="11">
        <v>1</v>
      </c>
      <c r="E2803" s="11" t="s">
        <v>4</v>
      </c>
      <c r="F2803" s="12">
        <v>29901</v>
      </c>
      <c r="G2803" s="12">
        <v>29901</v>
      </c>
      <c r="H2803" s="11" t="str">
        <f t="shared" si="90"/>
        <v>平成6年9月14日</v>
      </c>
      <c r="I2803" s="22">
        <f t="shared" si="91"/>
        <v>34591</v>
      </c>
      <c r="J2803" s="1" t="str">
        <f>"00742243"</f>
        <v>00742243</v>
      </c>
      <c r="K2803" s="1" t="str">
        <f>"１６８６　　　　　　　　　　　　　　　　"</f>
        <v>１６８６　　　　　　　　　　　　　　　　</v>
      </c>
      <c r="L2803" s="1"/>
    </row>
    <row r="2804" spans="1:12" ht="18" customHeight="1" x14ac:dyDescent="0.15">
      <c r="A2804" s="11">
        <v>2924</v>
      </c>
      <c r="B2804" s="11" t="s">
        <v>53</v>
      </c>
      <c r="C2804" s="11" t="s">
        <v>164</v>
      </c>
      <c r="D2804" s="11">
        <v>1</v>
      </c>
      <c r="E2804" s="11" t="s">
        <v>4</v>
      </c>
      <c r="F2804" s="12">
        <v>29901</v>
      </c>
      <c r="G2804" s="12">
        <v>29901</v>
      </c>
      <c r="H2804" s="11" t="str">
        <f t="shared" si="90"/>
        <v>平成6年9月14日</v>
      </c>
      <c r="I2804" s="22">
        <f t="shared" si="91"/>
        <v>34591</v>
      </c>
      <c r="J2804" s="1" t="str">
        <f>"00742245"</f>
        <v>00742245</v>
      </c>
      <c r="K2804" s="1" t="str">
        <f>"１６８７　　　　　　　　　　　　　　　　"</f>
        <v>１６８７　　　　　　　　　　　　　　　　</v>
      </c>
      <c r="L2804" s="1"/>
    </row>
    <row r="2805" spans="1:12" ht="18" customHeight="1" x14ac:dyDescent="0.15">
      <c r="A2805" s="11">
        <v>2925</v>
      </c>
      <c r="B2805" s="11" t="s">
        <v>53</v>
      </c>
      <c r="C2805" s="11" t="s">
        <v>164</v>
      </c>
      <c r="D2805" s="11">
        <v>1</v>
      </c>
      <c r="E2805" s="11" t="s">
        <v>4</v>
      </c>
      <c r="F2805" s="12">
        <v>29901</v>
      </c>
      <c r="G2805" s="12">
        <v>29901</v>
      </c>
      <c r="H2805" s="11" t="str">
        <f t="shared" si="90"/>
        <v>平成6年9月14日</v>
      </c>
      <c r="I2805" s="22">
        <f t="shared" si="91"/>
        <v>34591</v>
      </c>
      <c r="J2805" s="1" t="str">
        <f>"00742247"</f>
        <v>00742247</v>
      </c>
      <c r="K2805" s="1" t="str">
        <f>"１６８８　　　　　　　　　　　　　　　　"</f>
        <v>１６８８　　　　　　　　　　　　　　　　</v>
      </c>
      <c r="L2805" s="1"/>
    </row>
    <row r="2806" spans="1:12" ht="18" customHeight="1" x14ac:dyDescent="0.15">
      <c r="A2806" s="11">
        <v>2926</v>
      </c>
      <c r="B2806" s="11" t="s">
        <v>53</v>
      </c>
      <c r="C2806" s="11" t="s">
        <v>164</v>
      </c>
      <c r="D2806" s="11">
        <v>1</v>
      </c>
      <c r="E2806" s="11" t="s">
        <v>4</v>
      </c>
      <c r="F2806" s="12">
        <v>29901</v>
      </c>
      <c r="G2806" s="12">
        <v>29901</v>
      </c>
      <c r="H2806" s="11" t="str">
        <f t="shared" si="90"/>
        <v>平成6年9月14日</v>
      </c>
      <c r="I2806" s="22">
        <f t="shared" si="91"/>
        <v>34591</v>
      </c>
      <c r="J2806" s="1" t="str">
        <f>"00742249"</f>
        <v>00742249</v>
      </c>
      <c r="K2806" s="1" t="str">
        <f>"１６８９　　　　　　　　　　　　　　　　"</f>
        <v>１６８９　　　　　　　　　　　　　　　　</v>
      </c>
      <c r="L2806" s="1"/>
    </row>
    <row r="2807" spans="1:12" ht="18" customHeight="1" x14ac:dyDescent="0.15">
      <c r="A2807" s="11">
        <v>2927</v>
      </c>
      <c r="B2807" s="11" t="s">
        <v>53</v>
      </c>
      <c r="C2807" s="11" t="s">
        <v>164</v>
      </c>
      <c r="D2807" s="11">
        <v>1</v>
      </c>
      <c r="E2807" s="11" t="s">
        <v>4</v>
      </c>
      <c r="F2807" s="12">
        <v>29901</v>
      </c>
      <c r="G2807" s="12">
        <v>29901</v>
      </c>
      <c r="H2807" s="11" t="str">
        <f t="shared" si="90"/>
        <v>平成6年9月14日</v>
      </c>
      <c r="I2807" s="22">
        <f t="shared" si="91"/>
        <v>34591</v>
      </c>
      <c r="J2807" s="1" t="str">
        <f>"00742251"</f>
        <v>00742251</v>
      </c>
      <c r="K2807" s="1" t="str">
        <f>"１６９０　　　　　　　　　　　　　　　　"</f>
        <v>１６９０　　　　　　　　　　　　　　　　</v>
      </c>
      <c r="L2807" s="1"/>
    </row>
    <row r="2808" spans="1:12" ht="18" customHeight="1" x14ac:dyDescent="0.15">
      <c r="A2808" s="11">
        <v>2928</v>
      </c>
      <c r="B2808" s="11" t="s">
        <v>53</v>
      </c>
      <c r="C2808" s="11" t="s">
        <v>164</v>
      </c>
      <c r="D2808" s="11">
        <v>1</v>
      </c>
      <c r="E2808" s="11" t="s">
        <v>4</v>
      </c>
      <c r="F2808" s="12">
        <v>29901</v>
      </c>
      <c r="G2808" s="12">
        <v>29901</v>
      </c>
      <c r="H2808" s="11" t="str">
        <f t="shared" si="90"/>
        <v>平成6年9月14日</v>
      </c>
      <c r="I2808" s="22">
        <f t="shared" si="91"/>
        <v>34591</v>
      </c>
      <c r="J2808" s="1" t="str">
        <f>"00742253"</f>
        <v>00742253</v>
      </c>
      <c r="K2808" s="1" t="str">
        <f>"１６９１　　　　　　　　　　　　　　　　"</f>
        <v>１６９１　　　　　　　　　　　　　　　　</v>
      </c>
      <c r="L2808" s="1"/>
    </row>
    <row r="2809" spans="1:12" ht="18" customHeight="1" x14ac:dyDescent="0.15">
      <c r="A2809" s="11">
        <v>2929</v>
      </c>
      <c r="B2809" s="11" t="s">
        <v>53</v>
      </c>
      <c r="C2809" s="11" t="s">
        <v>164</v>
      </c>
      <c r="D2809" s="11">
        <v>1</v>
      </c>
      <c r="E2809" s="11" t="s">
        <v>4</v>
      </c>
      <c r="F2809" s="12">
        <v>29901</v>
      </c>
      <c r="G2809" s="12">
        <v>29901</v>
      </c>
      <c r="H2809" s="11" t="str">
        <f t="shared" si="90"/>
        <v>平成6年9月14日</v>
      </c>
      <c r="I2809" s="22">
        <f t="shared" si="91"/>
        <v>34591</v>
      </c>
      <c r="J2809" s="1" t="str">
        <f>"00742255"</f>
        <v>00742255</v>
      </c>
      <c r="K2809" s="1" t="str">
        <f>"１６９２　　　　　　　　　　　　　　　　"</f>
        <v>１６９２　　　　　　　　　　　　　　　　</v>
      </c>
      <c r="L2809" s="1"/>
    </row>
    <row r="2810" spans="1:12" ht="18" customHeight="1" x14ac:dyDescent="0.15">
      <c r="A2810" s="11">
        <v>2930</v>
      </c>
      <c r="B2810" s="11" t="s">
        <v>53</v>
      </c>
      <c r="C2810" s="11" t="s">
        <v>164</v>
      </c>
      <c r="D2810" s="11">
        <v>1</v>
      </c>
      <c r="E2810" s="11" t="s">
        <v>4</v>
      </c>
      <c r="F2810" s="12">
        <v>29901</v>
      </c>
      <c r="G2810" s="12">
        <v>29901</v>
      </c>
      <c r="H2810" s="11" t="str">
        <f t="shared" si="90"/>
        <v>平成6年9月14日</v>
      </c>
      <c r="I2810" s="22">
        <f t="shared" si="91"/>
        <v>34591</v>
      </c>
      <c r="J2810" s="1" t="str">
        <f>"00742257"</f>
        <v>00742257</v>
      </c>
      <c r="K2810" s="1" t="str">
        <f>"１６９３　　　　　　　　　　　　　　　　"</f>
        <v>１６９３　　　　　　　　　　　　　　　　</v>
      </c>
      <c r="L2810" s="1"/>
    </row>
    <row r="2811" spans="1:12" ht="18" customHeight="1" x14ac:dyDescent="0.15">
      <c r="A2811" s="11">
        <v>2931</v>
      </c>
      <c r="B2811" s="11" t="s">
        <v>53</v>
      </c>
      <c r="C2811" s="11" t="s">
        <v>164</v>
      </c>
      <c r="D2811" s="11">
        <v>1</v>
      </c>
      <c r="E2811" s="11" t="s">
        <v>4</v>
      </c>
      <c r="F2811" s="12">
        <v>29901</v>
      </c>
      <c r="G2811" s="12">
        <v>29901</v>
      </c>
      <c r="H2811" s="11" t="str">
        <f t="shared" si="90"/>
        <v>平成6年9月14日</v>
      </c>
      <c r="I2811" s="22">
        <f t="shared" si="91"/>
        <v>34591</v>
      </c>
      <c r="J2811" s="1" t="str">
        <f>"00742259"</f>
        <v>00742259</v>
      </c>
      <c r="K2811" s="1" t="str">
        <f>"１６９４　　　　　　　　　　　　　　　　"</f>
        <v>１６９４　　　　　　　　　　　　　　　　</v>
      </c>
      <c r="L2811" s="1"/>
    </row>
    <row r="2812" spans="1:12" ht="18" customHeight="1" x14ac:dyDescent="0.15">
      <c r="A2812" s="11">
        <v>2932</v>
      </c>
      <c r="B2812" s="11" t="s">
        <v>53</v>
      </c>
      <c r="C2812" s="11" t="s">
        <v>164</v>
      </c>
      <c r="D2812" s="11">
        <v>1</v>
      </c>
      <c r="E2812" s="11" t="s">
        <v>4</v>
      </c>
      <c r="F2812" s="12">
        <v>29901</v>
      </c>
      <c r="G2812" s="12">
        <v>29901</v>
      </c>
      <c r="H2812" s="11" t="str">
        <f t="shared" si="90"/>
        <v>平成6年9月14日</v>
      </c>
      <c r="I2812" s="22">
        <f t="shared" si="91"/>
        <v>34591</v>
      </c>
      <c r="J2812" s="1" t="str">
        <f>"00742261"</f>
        <v>00742261</v>
      </c>
      <c r="K2812" s="1" t="str">
        <f>"１６９５　　　　　　　　　　　　　　　　"</f>
        <v>１６９５　　　　　　　　　　　　　　　　</v>
      </c>
      <c r="L2812" s="1"/>
    </row>
    <row r="2813" spans="1:12" ht="18" customHeight="1" x14ac:dyDescent="0.15">
      <c r="A2813" s="11">
        <v>2933</v>
      </c>
      <c r="B2813" s="11" t="s">
        <v>53</v>
      </c>
      <c r="C2813" s="11" t="s">
        <v>164</v>
      </c>
      <c r="D2813" s="11">
        <v>1</v>
      </c>
      <c r="E2813" s="11" t="s">
        <v>4</v>
      </c>
      <c r="F2813" s="12">
        <v>29901</v>
      </c>
      <c r="G2813" s="12">
        <v>29901</v>
      </c>
      <c r="H2813" s="11" t="str">
        <f t="shared" si="90"/>
        <v>平成6年9月14日</v>
      </c>
      <c r="I2813" s="22">
        <f t="shared" si="91"/>
        <v>34591</v>
      </c>
      <c r="J2813" s="1" t="str">
        <f>"00742263"</f>
        <v>00742263</v>
      </c>
      <c r="K2813" s="1" t="str">
        <f>"１６９６　　　　　　　　　　　　　　　　"</f>
        <v>１６９６　　　　　　　　　　　　　　　　</v>
      </c>
      <c r="L2813" s="1"/>
    </row>
    <row r="2814" spans="1:12" ht="18" customHeight="1" x14ac:dyDescent="0.15">
      <c r="A2814" s="11">
        <v>2934</v>
      </c>
      <c r="B2814" s="11" t="s">
        <v>53</v>
      </c>
      <c r="C2814" s="11" t="s">
        <v>164</v>
      </c>
      <c r="D2814" s="11">
        <v>1</v>
      </c>
      <c r="E2814" s="11" t="s">
        <v>4</v>
      </c>
      <c r="F2814" s="12">
        <v>29901</v>
      </c>
      <c r="G2814" s="12">
        <v>29901</v>
      </c>
      <c r="H2814" s="11" t="str">
        <f t="shared" si="90"/>
        <v>平成6年9月14日</v>
      </c>
      <c r="I2814" s="22">
        <f t="shared" si="91"/>
        <v>34591</v>
      </c>
      <c r="J2814" s="1" t="str">
        <f>"00742265"</f>
        <v>00742265</v>
      </c>
      <c r="K2814" s="1" t="str">
        <f>"１６９７　　　　　　　　　　　　　　　　"</f>
        <v>１６９７　　　　　　　　　　　　　　　　</v>
      </c>
      <c r="L2814" s="1"/>
    </row>
    <row r="2815" spans="1:12" ht="18" customHeight="1" x14ac:dyDescent="0.15">
      <c r="A2815" s="11">
        <v>2935</v>
      </c>
      <c r="B2815" s="11" t="s">
        <v>53</v>
      </c>
      <c r="C2815" s="11" t="s">
        <v>164</v>
      </c>
      <c r="D2815" s="11">
        <v>1</v>
      </c>
      <c r="E2815" s="11" t="s">
        <v>4</v>
      </c>
      <c r="F2815" s="12">
        <v>29901</v>
      </c>
      <c r="G2815" s="12">
        <v>29901</v>
      </c>
      <c r="H2815" s="11" t="str">
        <f t="shared" si="90"/>
        <v>平成6年9月14日</v>
      </c>
      <c r="I2815" s="22">
        <f t="shared" si="91"/>
        <v>34591</v>
      </c>
      <c r="J2815" s="1" t="str">
        <f>"00742267"</f>
        <v>00742267</v>
      </c>
      <c r="K2815" s="1" t="str">
        <f>"１６９８　　　　　　　　　　　　　　　　"</f>
        <v>１６９８　　　　　　　　　　　　　　　　</v>
      </c>
      <c r="L2815" s="1"/>
    </row>
    <row r="2816" spans="1:12" ht="18" customHeight="1" x14ac:dyDescent="0.15">
      <c r="A2816" s="11">
        <v>2936</v>
      </c>
      <c r="B2816" s="11" t="s">
        <v>53</v>
      </c>
      <c r="C2816" s="11" t="s">
        <v>164</v>
      </c>
      <c r="D2816" s="11">
        <v>1</v>
      </c>
      <c r="E2816" s="11" t="s">
        <v>4</v>
      </c>
      <c r="F2816" s="12">
        <v>29901</v>
      </c>
      <c r="G2816" s="12">
        <v>29901</v>
      </c>
      <c r="H2816" s="11" t="str">
        <f t="shared" si="90"/>
        <v>平成6年9月14日</v>
      </c>
      <c r="I2816" s="22">
        <f t="shared" si="91"/>
        <v>34591</v>
      </c>
      <c r="J2816" s="1" t="str">
        <f>"00742269"</f>
        <v>00742269</v>
      </c>
      <c r="K2816" s="1" t="str">
        <f>"１６９９　　　　　　　　　　　　　　　　"</f>
        <v>１６９９　　　　　　　　　　　　　　　　</v>
      </c>
      <c r="L2816" s="1"/>
    </row>
    <row r="2817" spans="1:12" ht="18" customHeight="1" x14ac:dyDescent="0.15">
      <c r="A2817" s="11">
        <v>2937</v>
      </c>
      <c r="B2817" s="11" t="s">
        <v>53</v>
      </c>
      <c r="C2817" s="11" t="s">
        <v>164</v>
      </c>
      <c r="D2817" s="11">
        <v>1</v>
      </c>
      <c r="E2817" s="11" t="s">
        <v>4</v>
      </c>
      <c r="F2817" s="12">
        <v>29901</v>
      </c>
      <c r="G2817" s="12">
        <v>29901</v>
      </c>
      <c r="H2817" s="11" t="str">
        <f t="shared" si="90"/>
        <v>平成6年9月14日</v>
      </c>
      <c r="I2817" s="22">
        <f t="shared" si="91"/>
        <v>34591</v>
      </c>
      <c r="J2817" s="1" t="str">
        <f>"00742271"</f>
        <v>00742271</v>
      </c>
      <c r="K2817" s="1" t="str">
        <f>"１７００　　　　　　　　　　　　　　　　"</f>
        <v>１７００　　　　　　　　　　　　　　　　</v>
      </c>
      <c r="L2817" s="1"/>
    </row>
    <row r="2818" spans="1:12" ht="18" customHeight="1" x14ac:dyDescent="0.15">
      <c r="A2818" s="11">
        <v>2938</v>
      </c>
      <c r="B2818" s="11" t="s">
        <v>53</v>
      </c>
      <c r="C2818" s="11" t="s">
        <v>164</v>
      </c>
      <c r="D2818" s="11">
        <v>1</v>
      </c>
      <c r="E2818" s="11" t="s">
        <v>4</v>
      </c>
      <c r="F2818" s="12">
        <v>29901</v>
      </c>
      <c r="G2818" s="12">
        <v>29901</v>
      </c>
      <c r="H2818" s="11" t="str">
        <f t="shared" si="90"/>
        <v>平成6年9月14日</v>
      </c>
      <c r="I2818" s="22">
        <f t="shared" si="91"/>
        <v>34591</v>
      </c>
      <c r="J2818" s="1" t="str">
        <f>"00742273"</f>
        <v>00742273</v>
      </c>
      <c r="K2818" s="1" t="str">
        <f>"１７０１　　　　　　　　　　　　　　　　"</f>
        <v>１７０１　　　　　　　　　　　　　　　　</v>
      </c>
      <c r="L2818" s="1"/>
    </row>
    <row r="2819" spans="1:12" ht="18" customHeight="1" x14ac:dyDescent="0.15">
      <c r="A2819" s="11">
        <v>2939</v>
      </c>
      <c r="B2819" s="11" t="s">
        <v>53</v>
      </c>
      <c r="C2819" s="11" t="s">
        <v>164</v>
      </c>
      <c r="D2819" s="11">
        <v>1</v>
      </c>
      <c r="E2819" s="11" t="s">
        <v>4</v>
      </c>
      <c r="F2819" s="12">
        <v>29901</v>
      </c>
      <c r="G2819" s="12">
        <v>29901</v>
      </c>
      <c r="H2819" s="11" t="str">
        <f t="shared" si="90"/>
        <v>平成6年9月14日</v>
      </c>
      <c r="I2819" s="22">
        <f t="shared" si="91"/>
        <v>34591</v>
      </c>
      <c r="J2819" s="1" t="str">
        <f>"00742275"</f>
        <v>00742275</v>
      </c>
      <c r="K2819" s="1" t="str">
        <f>"１７０２　　　　　　　　　　　　　　　　"</f>
        <v>１７０２　　　　　　　　　　　　　　　　</v>
      </c>
      <c r="L2819" s="1"/>
    </row>
    <row r="2820" spans="1:12" ht="18" customHeight="1" x14ac:dyDescent="0.15">
      <c r="A2820" s="11">
        <v>2940</v>
      </c>
      <c r="B2820" s="11" t="s">
        <v>53</v>
      </c>
      <c r="C2820" s="11" t="s">
        <v>164</v>
      </c>
      <c r="D2820" s="11">
        <v>1</v>
      </c>
      <c r="E2820" s="11" t="s">
        <v>4</v>
      </c>
      <c r="F2820" s="12">
        <v>29901</v>
      </c>
      <c r="G2820" s="12">
        <v>29901</v>
      </c>
      <c r="H2820" s="11" t="str">
        <f t="shared" si="90"/>
        <v>平成6年9月14日</v>
      </c>
      <c r="I2820" s="22">
        <f t="shared" si="91"/>
        <v>34591</v>
      </c>
      <c r="J2820" s="1" t="str">
        <f>"00742277"</f>
        <v>00742277</v>
      </c>
      <c r="K2820" s="1" t="str">
        <f>"１７０３　　　　　　　　　　　　　　　　"</f>
        <v>１７０３　　　　　　　　　　　　　　　　</v>
      </c>
      <c r="L2820" s="1"/>
    </row>
    <row r="2821" spans="1:12" ht="18" customHeight="1" x14ac:dyDescent="0.15">
      <c r="A2821" s="11">
        <v>2941</v>
      </c>
      <c r="B2821" s="11" t="s">
        <v>53</v>
      </c>
      <c r="C2821" s="11" t="s">
        <v>164</v>
      </c>
      <c r="D2821" s="11">
        <v>1</v>
      </c>
      <c r="E2821" s="11" t="s">
        <v>4</v>
      </c>
      <c r="F2821" s="12">
        <v>29901</v>
      </c>
      <c r="G2821" s="12">
        <v>29901</v>
      </c>
      <c r="H2821" s="11" t="str">
        <f t="shared" si="90"/>
        <v>平成6年9月14日</v>
      </c>
      <c r="I2821" s="22">
        <f t="shared" si="91"/>
        <v>34591</v>
      </c>
      <c r="J2821" s="1" t="str">
        <f>"00742279"</f>
        <v>00742279</v>
      </c>
      <c r="K2821" s="1" t="str">
        <f>"１７０４　　　　　　　　　　　　　　　　"</f>
        <v>１７０４　　　　　　　　　　　　　　　　</v>
      </c>
      <c r="L2821" s="1"/>
    </row>
    <row r="2822" spans="1:12" ht="18" customHeight="1" x14ac:dyDescent="0.15">
      <c r="A2822" s="11">
        <v>2942</v>
      </c>
      <c r="B2822" s="11" t="s">
        <v>53</v>
      </c>
      <c r="C2822" s="11" t="s">
        <v>164</v>
      </c>
      <c r="D2822" s="11">
        <v>1</v>
      </c>
      <c r="E2822" s="11" t="s">
        <v>4</v>
      </c>
      <c r="F2822" s="12">
        <v>29901</v>
      </c>
      <c r="G2822" s="12">
        <v>29901</v>
      </c>
      <c r="H2822" s="11" t="str">
        <f t="shared" si="90"/>
        <v>平成6年9月14日</v>
      </c>
      <c r="I2822" s="22">
        <f t="shared" si="91"/>
        <v>34591</v>
      </c>
      <c r="J2822" s="1" t="str">
        <f>"00742281"</f>
        <v>00742281</v>
      </c>
      <c r="K2822" s="1" t="str">
        <f>"１７０５　　　　　　　　　　　　　　　　"</f>
        <v>１７０５　　　　　　　　　　　　　　　　</v>
      </c>
      <c r="L2822" s="1"/>
    </row>
    <row r="2823" spans="1:12" ht="18" customHeight="1" x14ac:dyDescent="0.15">
      <c r="A2823" s="11">
        <v>2943</v>
      </c>
      <c r="B2823" s="11" t="s">
        <v>53</v>
      </c>
      <c r="C2823" s="11" t="s">
        <v>164</v>
      </c>
      <c r="D2823" s="11">
        <v>1</v>
      </c>
      <c r="E2823" s="11" t="s">
        <v>4</v>
      </c>
      <c r="F2823" s="12">
        <v>29901</v>
      </c>
      <c r="G2823" s="12">
        <v>29901</v>
      </c>
      <c r="H2823" s="11" t="str">
        <f t="shared" si="90"/>
        <v>平成6年9月14日</v>
      </c>
      <c r="I2823" s="22">
        <f t="shared" si="91"/>
        <v>34591</v>
      </c>
      <c r="J2823" s="1" t="str">
        <f>"00742283"</f>
        <v>00742283</v>
      </c>
      <c r="K2823" s="1" t="str">
        <f>"１７０６　　　　　　　　　　　　　　　　"</f>
        <v>１７０６　　　　　　　　　　　　　　　　</v>
      </c>
      <c r="L2823" s="1"/>
    </row>
    <row r="2824" spans="1:12" ht="18" customHeight="1" x14ac:dyDescent="0.15">
      <c r="A2824" s="11">
        <v>2944</v>
      </c>
      <c r="B2824" s="11" t="s">
        <v>53</v>
      </c>
      <c r="C2824" s="11" t="s">
        <v>164</v>
      </c>
      <c r="D2824" s="11">
        <v>1</v>
      </c>
      <c r="E2824" s="11" t="s">
        <v>4</v>
      </c>
      <c r="F2824" s="12">
        <v>29901</v>
      </c>
      <c r="G2824" s="12">
        <v>29901</v>
      </c>
      <c r="H2824" s="11" t="str">
        <f t="shared" si="90"/>
        <v>平成6年9月14日</v>
      </c>
      <c r="I2824" s="22">
        <f t="shared" si="91"/>
        <v>34591</v>
      </c>
      <c r="J2824" s="1" t="str">
        <f>"00742285"</f>
        <v>00742285</v>
      </c>
      <c r="K2824" s="1" t="str">
        <f>"１７０７　　　　　　　　　　　　　　　　"</f>
        <v>１７０７　　　　　　　　　　　　　　　　</v>
      </c>
      <c r="L2824" s="1"/>
    </row>
    <row r="2825" spans="1:12" ht="18" customHeight="1" x14ac:dyDescent="0.15">
      <c r="A2825" s="11">
        <v>2945</v>
      </c>
      <c r="B2825" s="11" t="s">
        <v>53</v>
      </c>
      <c r="C2825" s="11" t="s">
        <v>164</v>
      </c>
      <c r="D2825" s="11">
        <v>1</v>
      </c>
      <c r="E2825" s="11" t="s">
        <v>4</v>
      </c>
      <c r="F2825" s="12">
        <v>29901</v>
      </c>
      <c r="G2825" s="12">
        <v>29901</v>
      </c>
      <c r="H2825" s="11" t="str">
        <f t="shared" si="90"/>
        <v>平成6年9月14日</v>
      </c>
      <c r="I2825" s="22">
        <f t="shared" si="91"/>
        <v>34591</v>
      </c>
      <c r="J2825" s="1" t="str">
        <f>"00742287"</f>
        <v>00742287</v>
      </c>
      <c r="K2825" s="1" t="str">
        <f>"１７０８　　　　　　　　　　　　　　　　"</f>
        <v>１７０８　　　　　　　　　　　　　　　　</v>
      </c>
      <c r="L2825" s="1"/>
    </row>
    <row r="2826" spans="1:12" ht="18" customHeight="1" x14ac:dyDescent="0.15">
      <c r="A2826" s="11">
        <v>2946</v>
      </c>
      <c r="B2826" s="11" t="s">
        <v>53</v>
      </c>
      <c r="C2826" s="11" t="s">
        <v>164</v>
      </c>
      <c r="D2826" s="11">
        <v>1</v>
      </c>
      <c r="E2826" s="11" t="s">
        <v>4</v>
      </c>
      <c r="F2826" s="12">
        <v>29901</v>
      </c>
      <c r="G2826" s="12">
        <v>29901</v>
      </c>
      <c r="H2826" s="11" t="str">
        <f t="shared" si="90"/>
        <v>平成6年9月14日</v>
      </c>
      <c r="I2826" s="22">
        <f t="shared" si="91"/>
        <v>34591</v>
      </c>
      <c r="J2826" s="1" t="str">
        <f>"00742289"</f>
        <v>00742289</v>
      </c>
      <c r="K2826" s="1" t="str">
        <f>"１７０９　　　　　　　　　　　　　　　　"</f>
        <v>１７０９　　　　　　　　　　　　　　　　</v>
      </c>
      <c r="L2826" s="1"/>
    </row>
    <row r="2827" spans="1:12" ht="18" customHeight="1" x14ac:dyDescent="0.15">
      <c r="A2827" s="11">
        <v>2947</v>
      </c>
      <c r="B2827" s="11" t="s">
        <v>53</v>
      </c>
      <c r="C2827" s="11" t="s">
        <v>164</v>
      </c>
      <c r="D2827" s="11">
        <v>1</v>
      </c>
      <c r="E2827" s="11" t="s">
        <v>4</v>
      </c>
      <c r="F2827" s="12">
        <v>29901</v>
      </c>
      <c r="G2827" s="12">
        <v>29901</v>
      </c>
      <c r="H2827" s="11" t="str">
        <f t="shared" si="90"/>
        <v>平成6年9月14日</v>
      </c>
      <c r="I2827" s="22">
        <f t="shared" si="91"/>
        <v>34591</v>
      </c>
      <c r="J2827" s="1" t="str">
        <f>"00742291"</f>
        <v>00742291</v>
      </c>
      <c r="K2827" s="1" t="str">
        <f>"１７１０　　　　　　　　　　　　　　　　"</f>
        <v>１７１０　　　　　　　　　　　　　　　　</v>
      </c>
      <c r="L2827" s="1"/>
    </row>
    <row r="2828" spans="1:12" ht="18" customHeight="1" x14ac:dyDescent="0.15">
      <c r="A2828" s="11">
        <v>2948</v>
      </c>
      <c r="B2828" s="11" t="s">
        <v>53</v>
      </c>
      <c r="C2828" s="11" t="s">
        <v>164</v>
      </c>
      <c r="D2828" s="11">
        <v>1</v>
      </c>
      <c r="E2828" s="11" t="s">
        <v>4</v>
      </c>
      <c r="F2828" s="12">
        <v>29901</v>
      </c>
      <c r="G2828" s="12">
        <v>29901</v>
      </c>
      <c r="H2828" s="11" t="str">
        <f t="shared" si="90"/>
        <v>平成6年9月14日</v>
      </c>
      <c r="I2828" s="22">
        <f t="shared" si="91"/>
        <v>34591</v>
      </c>
      <c r="J2828" s="1" t="str">
        <f>"00742293"</f>
        <v>00742293</v>
      </c>
      <c r="K2828" s="1" t="str">
        <f>"１７１１　　　　　　　　　　　　　　　　"</f>
        <v>１７１１　　　　　　　　　　　　　　　　</v>
      </c>
      <c r="L2828" s="1"/>
    </row>
    <row r="2829" spans="1:12" ht="18" customHeight="1" x14ac:dyDescent="0.15">
      <c r="A2829" s="11">
        <v>2949</v>
      </c>
      <c r="B2829" s="11" t="s">
        <v>53</v>
      </c>
      <c r="C2829" s="11" t="s">
        <v>164</v>
      </c>
      <c r="D2829" s="11">
        <v>1</v>
      </c>
      <c r="E2829" s="11" t="s">
        <v>4</v>
      </c>
      <c r="F2829" s="12">
        <v>29901</v>
      </c>
      <c r="G2829" s="12">
        <v>29901</v>
      </c>
      <c r="H2829" s="11" t="str">
        <f t="shared" si="90"/>
        <v>平成6年9月14日</v>
      </c>
      <c r="I2829" s="22">
        <f t="shared" si="91"/>
        <v>34591</v>
      </c>
      <c r="J2829" s="1" t="str">
        <f>"00742295"</f>
        <v>00742295</v>
      </c>
      <c r="K2829" s="1" t="str">
        <f>"１７１２　　　　　　　　　　　　　　　　"</f>
        <v>１７１２　　　　　　　　　　　　　　　　</v>
      </c>
      <c r="L2829" s="1"/>
    </row>
    <row r="2830" spans="1:12" ht="18" customHeight="1" x14ac:dyDescent="0.15">
      <c r="A2830" s="11">
        <v>2950</v>
      </c>
      <c r="B2830" s="11" t="s">
        <v>53</v>
      </c>
      <c r="C2830" s="11" t="s">
        <v>164</v>
      </c>
      <c r="D2830" s="11">
        <v>1</v>
      </c>
      <c r="E2830" s="11" t="s">
        <v>4</v>
      </c>
      <c r="F2830" s="12">
        <v>29901</v>
      </c>
      <c r="G2830" s="12">
        <v>29901</v>
      </c>
      <c r="H2830" s="11" t="str">
        <f t="shared" si="90"/>
        <v>平成6年9月14日</v>
      </c>
      <c r="I2830" s="22">
        <f t="shared" si="91"/>
        <v>34591</v>
      </c>
      <c r="J2830" s="1" t="str">
        <f>"00742297"</f>
        <v>00742297</v>
      </c>
      <c r="K2830" s="1" t="str">
        <f>"１７１３　　　　　　　　　　　　　　　　"</f>
        <v>１７１３　　　　　　　　　　　　　　　　</v>
      </c>
      <c r="L2830" s="1"/>
    </row>
    <row r="2831" spans="1:12" ht="18" customHeight="1" x14ac:dyDescent="0.15">
      <c r="A2831" s="11">
        <v>2951</v>
      </c>
      <c r="B2831" s="11" t="s">
        <v>53</v>
      </c>
      <c r="C2831" s="11" t="s">
        <v>164</v>
      </c>
      <c r="D2831" s="11">
        <v>1</v>
      </c>
      <c r="E2831" s="11" t="s">
        <v>4</v>
      </c>
      <c r="F2831" s="12">
        <v>29901</v>
      </c>
      <c r="G2831" s="12">
        <v>29901</v>
      </c>
      <c r="H2831" s="11" t="str">
        <f t="shared" ref="H2831:H2894" si="92">"平成6年9月14日"</f>
        <v>平成6年9月14日</v>
      </c>
      <c r="I2831" s="22">
        <f t="shared" si="91"/>
        <v>34591</v>
      </c>
      <c r="J2831" s="1" t="str">
        <f>"00742299"</f>
        <v>00742299</v>
      </c>
      <c r="K2831" s="1" t="str">
        <f>"１７１４　　　　　　　　　　　　　　　　"</f>
        <v>１７１４　　　　　　　　　　　　　　　　</v>
      </c>
      <c r="L2831" s="1"/>
    </row>
    <row r="2832" spans="1:12" ht="18" customHeight="1" x14ac:dyDescent="0.15">
      <c r="A2832" s="11">
        <v>2952</v>
      </c>
      <c r="B2832" s="11" t="s">
        <v>53</v>
      </c>
      <c r="C2832" s="11" t="s">
        <v>164</v>
      </c>
      <c r="D2832" s="11">
        <v>1</v>
      </c>
      <c r="E2832" s="11" t="s">
        <v>4</v>
      </c>
      <c r="F2832" s="12">
        <v>29901</v>
      </c>
      <c r="G2832" s="12">
        <v>29901</v>
      </c>
      <c r="H2832" s="11" t="str">
        <f t="shared" si="92"/>
        <v>平成6年9月14日</v>
      </c>
      <c r="I2832" s="22">
        <f t="shared" si="91"/>
        <v>34591</v>
      </c>
      <c r="J2832" s="1" t="str">
        <f>"00742301"</f>
        <v>00742301</v>
      </c>
      <c r="K2832" s="1" t="str">
        <f>"１７１５　　　　　　　　　　　　　　　　"</f>
        <v>１７１５　　　　　　　　　　　　　　　　</v>
      </c>
      <c r="L2832" s="1"/>
    </row>
    <row r="2833" spans="1:12" ht="18" customHeight="1" x14ac:dyDescent="0.15">
      <c r="A2833" s="11">
        <v>2953</v>
      </c>
      <c r="B2833" s="11" t="s">
        <v>53</v>
      </c>
      <c r="C2833" s="11" t="s">
        <v>164</v>
      </c>
      <c r="D2833" s="11">
        <v>1</v>
      </c>
      <c r="E2833" s="11" t="s">
        <v>4</v>
      </c>
      <c r="F2833" s="12">
        <v>29901</v>
      </c>
      <c r="G2833" s="12">
        <v>29901</v>
      </c>
      <c r="H2833" s="11" t="str">
        <f t="shared" si="92"/>
        <v>平成6年9月14日</v>
      </c>
      <c r="I2833" s="22">
        <f t="shared" si="91"/>
        <v>34591</v>
      </c>
      <c r="J2833" s="1" t="str">
        <f>"00742303"</f>
        <v>00742303</v>
      </c>
      <c r="K2833" s="1" t="str">
        <f>"１７１６　　　　　　　　　　　　　　　　"</f>
        <v>１７１６　　　　　　　　　　　　　　　　</v>
      </c>
      <c r="L2833" s="1"/>
    </row>
    <row r="2834" spans="1:12" ht="18" customHeight="1" x14ac:dyDescent="0.15">
      <c r="A2834" s="11">
        <v>2954</v>
      </c>
      <c r="B2834" s="11" t="s">
        <v>53</v>
      </c>
      <c r="C2834" s="11" t="s">
        <v>164</v>
      </c>
      <c r="D2834" s="11">
        <v>1</v>
      </c>
      <c r="E2834" s="11" t="s">
        <v>4</v>
      </c>
      <c r="F2834" s="12">
        <v>29901</v>
      </c>
      <c r="G2834" s="12">
        <v>29901</v>
      </c>
      <c r="H2834" s="11" t="str">
        <f t="shared" si="92"/>
        <v>平成6年9月14日</v>
      </c>
      <c r="I2834" s="22">
        <f t="shared" ref="I2834:I2897" si="93">DATEVALUE(H2834)</f>
        <v>34591</v>
      </c>
      <c r="J2834" s="1" t="str">
        <f>"00742305"</f>
        <v>00742305</v>
      </c>
      <c r="K2834" s="1" t="str">
        <f>"１７１７　　　　　　　　　　　　　　　　"</f>
        <v>１７１７　　　　　　　　　　　　　　　　</v>
      </c>
      <c r="L2834" s="1"/>
    </row>
    <row r="2835" spans="1:12" ht="18" customHeight="1" x14ac:dyDescent="0.15">
      <c r="A2835" s="11">
        <v>2955</v>
      </c>
      <c r="B2835" s="11" t="s">
        <v>53</v>
      </c>
      <c r="C2835" s="11" t="s">
        <v>164</v>
      </c>
      <c r="D2835" s="11">
        <v>1</v>
      </c>
      <c r="E2835" s="11" t="s">
        <v>4</v>
      </c>
      <c r="F2835" s="12">
        <v>29901</v>
      </c>
      <c r="G2835" s="12">
        <v>29901</v>
      </c>
      <c r="H2835" s="11" t="str">
        <f t="shared" si="92"/>
        <v>平成6年9月14日</v>
      </c>
      <c r="I2835" s="22">
        <f t="shared" si="93"/>
        <v>34591</v>
      </c>
      <c r="J2835" s="1" t="str">
        <f>"00742307"</f>
        <v>00742307</v>
      </c>
      <c r="K2835" s="1" t="str">
        <f>"１７１８　　　　　　　　　　　　　　　　"</f>
        <v>１７１８　　　　　　　　　　　　　　　　</v>
      </c>
      <c r="L2835" s="1"/>
    </row>
    <row r="2836" spans="1:12" ht="18" customHeight="1" x14ac:dyDescent="0.15">
      <c r="A2836" s="11">
        <v>2956</v>
      </c>
      <c r="B2836" s="11" t="s">
        <v>53</v>
      </c>
      <c r="C2836" s="11" t="s">
        <v>164</v>
      </c>
      <c r="D2836" s="11">
        <v>1</v>
      </c>
      <c r="E2836" s="11" t="s">
        <v>4</v>
      </c>
      <c r="F2836" s="12">
        <v>29901</v>
      </c>
      <c r="G2836" s="12">
        <v>29901</v>
      </c>
      <c r="H2836" s="11" t="str">
        <f t="shared" si="92"/>
        <v>平成6年9月14日</v>
      </c>
      <c r="I2836" s="22">
        <f t="shared" si="93"/>
        <v>34591</v>
      </c>
      <c r="J2836" s="1" t="str">
        <f>"00742309"</f>
        <v>00742309</v>
      </c>
      <c r="K2836" s="1" t="str">
        <f>"１７１９　　　　　　　　　　　　　　　　"</f>
        <v>１７１９　　　　　　　　　　　　　　　　</v>
      </c>
      <c r="L2836" s="1"/>
    </row>
    <row r="2837" spans="1:12" ht="18" customHeight="1" x14ac:dyDescent="0.15">
      <c r="A2837" s="11">
        <v>2957</v>
      </c>
      <c r="B2837" s="11" t="s">
        <v>53</v>
      </c>
      <c r="C2837" s="11" t="s">
        <v>164</v>
      </c>
      <c r="D2837" s="11">
        <v>1</v>
      </c>
      <c r="E2837" s="11" t="s">
        <v>4</v>
      </c>
      <c r="F2837" s="12">
        <v>29901</v>
      </c>
      <c r="G2837" s="12">
        <v>29901</v>
      </c>
      <c r="H2837" s="11" t="str">
        <f t="shared" si="92"/>
        <v>平成6年9月14日</v>
      </c>
      <c r="I2837" s="22">
        <f t="shared" si="93"/>
        <v>34591</v>
      </c>
      <c r="J2837" s="1" t="str">
        <f>"00742311"</f>
        <v>00742311</v>
      </c>
      <c r="K2837" s="1" t="str">
        <f>"１７２０　　　　　　　　　　　　　　　　"</f>
        <v>１７２０　　　　　　　　　　　　　　　　</v>
      </c>
      <c r="L2837" s="1"/>
    </row>
    <row r="2838" spans="1:12" ht="18" customHeight="1" x14ac:dyDescent="0.15">
      <c r="A2838" s="11">
        <v>2958</v>
      </c>
      <c r="B2838" s="11" t="s">
        <v>53</v>
      </c>
      <c r="C2838" s="11" t="s">
        <v>164</v>
      </c>
      <c r="D2838" s="11">
        <v>1</v>
      </c>
      <c r="E2838" s="11" t="s">
        <v>4</v>
      </c>
      <c r="F2838" s="12">
        <v>29901</v>
      </c>
      <c r="G2838" s="12">
        <v>29901</v>
      </c>
      <c r="H2838" s="11" t="str">
        <f t="shared" si="92"/>
        <v>平成6年9月14日</v>
      </c>
      <c r="I2838" s="22">
        <f t="shared" si="93"/>
        <v>34591</v>
      </c>
      <c r="J2838" s="1" t="str">
        <f>"00742313"</f>
        <v>00742313</v>
      </c>
      <c r="K2838" s="1" t="str">
        <f>"１７２１　　　　　　　　　　　　　　　　"</f>
        <v>１７２１　　　　　　　　　　　　　　　　</v>
      </c>
      <c r="L2838" s="1"/>
    </row>
    <row r="2839" spans="1:12" ht="18" customHeight="1" x14ac:dyDescent="0.15">
      <c r="A2839" s="11">
        <v>2959</v>
      </c>
      <c r="B2839" s="11" t="s">
        <v>53</v>
      </c>
      <c r="C2839" s="11" t="s">
        <v>164</v>
      </c>
      <c r="D2839" s="11">
        <v>1</v>
      </c>
      <c r="E2839" s="11" t="s">
        <v>4</v>
      </c>
      <c r="F2839" s="12">
        <v>29901</v>
      </c>
      <c r="G2839" s="12">
        <v>29901</v>
      </c>
      <c r="H2839" s="11" t="str">
        <f t="shared" si="92"/>
        <v>平成6年9月14日</v>
      </c>
      <c r="I2839" s="22">
        <f t="shared" si="93"/>
        <v>34591</v>
      </c>
      <c r="J2839" s="1" t="str">
        <f>"00742315"</f>
        <v>00742315</v>
      </c>
      <c r="K2839" s="1" t="str">
        <f>"１７２２　　　　　　　　　　　　　　　　"</f>
        <v>１７２２　　　　　　　　　　　　　　　　</v>
      </c>
      <c r="L2839" s="1"/>
    </row>
    <row r="2840" spans="1:12" ht="18" customHeight="1" x14ac:dyDescent="0.15">
      <c r="A2840" s="11">
        <v>2960</v>
      </c>
      <c r="B2840" s="11" t="s">
        <v>53</v>
      </c>
      <c r="C2840" s="11" t="s">
        <v>164</v>
      </c>
      <c r="D2840" s="11">
        <v>1</v>
      </c>
      <c r="E2840" s="11" t="s">
        <v>4</v>
      </c>
      <c r="F2840" s="12">
        <v>29901</v>
      </c>
      <c r="G2840" s="12">
        <v>29901</v>
      </c>
      <c r="H2840" s="11" t="str">
        <f t="shared" si="92"/>
        <v>平成6年9月14日</v>
      </c>
      <c r="I2840" s="22">
        <f t="shared" si="93"/>
        <v>34591</v>
      </c>
      <c r="J2840" s="1" t="str">
        <f>"00742317"</f>
        <v>00742317</v>
      </c>
      <c r="K2840" s="1" t="str">
        <f>"１７２３　　　　　　　　　　　　　　　　"</f>
        <v>１７２３　　　　　　　　　　　　　　　　</v>
      </c>
      <c r="L2840" s="1"/>
    </row>
    <row r="2841" spans="1:12" ht="18" customHeight="1" x14ac:dyDescent="0.15">
      <c r="A2841" s="11">
        <v>2961</v>
      </c>
      <c r="B2841" s="11" t="s">
        <v>53</v>
      </c>
      <c r="C2841" s="11" t="s">
        <v>164</v>
      </c>
      <c r="D2841" s="11">
        <v>1</v>
      </c>
      <c r="E2841" s="11" t="s">
        <v>4</v>
      </c>
      <c r="F2841" s="12">
        <v>29901</v>
      </c>
      <c r="G2841" s="12">
        <v>29901</v>
      </c>
      <c r="H2841" s="11" t="str">
        <f t="shared" si="92"/>
        <v>平成6年9月14日</v>
      </c>
      <c r="I2841" s="22">
        <f t="shared" si="93"/>
        <v>34591</v>
      </c>
      <c r="J2841" s="1" t="str">
        <f>"00742319"</f>
        <v>00742319</v>
      </c>
      <c r="K2841" s="1" t="str">
        <f>"１７２４　　　　　　　　　　　　　　　　"</f>
        <v>１７２４　　　　　　　　　　　　　　　　</v>
      </c>
      <c r="L2841" s="1"/>
    </row>
    <row r="2842" spans="1:12" ht="18" customHeight="1" x14ac:dyDescent="0.15">
      <c r="A2842" s="11">
        <v>2962</v>
      </c>
      <c r="B2842" s="11" t="s">
        <v>53</v>
      </c>
      <c r="C2842" s="11" t="s">
        <v>164</v>
      </c>
      <c r="D2842" s="11">
        <v>1</v>
      </c>
      <c r="E2842" s="11" t="s">
        <v>4</v>
      </c>
      <c r="F2842" s="12">
        <v>29901</v>
      </c>
      <c r="G2842" s="12">
        <v>29901</v>
      </c>
      <c r="H2842" s="11" t="str">
        <f t="shared" si="92"/>
        <v>平成6年9月14日</v>
      </c>
      <c r="I2842" s="22">
        <f t="shared" si="93"/>
        <v>34591</v>
      </c>
      <c r="J2842" s="1" t="str">
        <f>"00742321"</f>
        <v>00742321</v>
      </c>
      <c r="K2842" s="1" t="str">
        <f>"１７２５　　　　　　　　　　　　　　　　"</f>
        <v>１７２５　　　　　　　　　　　　　　　　</v>
      </c>
      <c r="L2842" s="1"/>
    </row>
    <row r="2843" spans="1:12" ht="18" customHeight="1" x14ac:dyDescent="0.15">
      <c r="A2843" s="11">
        <v>2963</v>
      </c>
      <c r="B2843" s="11" t="s">
        <v>53</v>
      </c>
      <c r="C2843" s="11" t="s">
        <v>164</v>
      </c>
      <c r="D2843" s="11">
        <v>1</v>
      </c>
      <c r="E2843" s="11" t="s">
        <v>4</v>
      </c>
      <c r="F2843" s="12">
        <v>29901</v>
      </c>
      <c r="G2843" s="12">
        <v>29901</v>
      </c>
      <c r="H2843" s="11" t="str">
        <f t="shared" si="92"/>
        <v>平成6年9月14日</v>
      </c>
      <c r="I2843" s="22">
        <f t="shared" si="93"/>
        <v>34591</v>
      </c>
      <c r="J2843" s="1" t="str">
        <f>"00742323"</f>
        <v>00742323</v>
      </c>
      <c r="K2843" s="1" t="str">
        <f>"１７２６　　　　　　　　　　　　　　　　"</f>
        <v>１７２６　　　　　　　　　　　　　　　　</v>
      </c>
      <c r="L2843" s="1"/>
    </row>
    <row r="2844" spans="1:12" ht="18" customHeight="1" x14ac:dyDescent="0.15">
      <c r="A2844" s="11">
        <v>2964</v>
      </c>
      <c r="B2844" s="11" t="s">
        <v>53</v>
      </c>
      <c r="C2844" s="11" t="s">
        <v>164</v>
      </c>
      <c r="D2844" s="11">
        <v>1</v>
      </c>
      <c r="E2844" s="11" t="s">
        <v>4</v>
      </c>
      <c r="F2844" s="12">
        <v>29901</v>
      </c>
      <c r="G2844" s="12">
        <v>29901</v>
      </c>
      <c r="H2844" s="11" t="str">
        <f t="shared" si="92"/>
        <v>平成6年9月14日</v>
      </c>
      <c r="I2844" s="22">
        <f t="shared" si="93"/>
        <v>34591</v>
      </c>
      <c r="J2844" s="1" t="str">
        <f>"00742325"</f>
        <v>00742325</v>
      </c>
      <c r="K2844" s="1" t="str">
        <f>"１７２７　　　　　　　　　　　　　　　　"</f>
        <v>１７２７　　　　　　　　　　　　　　　　</v>
      </c>
      <c r="L2844" s="1"/>
    </row>
    <row r="2845" spans="1:12" ht="18" customHeight="1" x14ac:dyDescent="0.15">
      <c r="A2845" s="11">
        <v>2965</v>
      </c>
      <c r="B2845" s="11" t="s">
        <v>53</v>
      </c>
      <c r="C2845" s="11" t="s">
        <v>164</v>
      </c>
      <c r="D2845" s="11">
        <v>1</v>
      </c>
      <c r="E2845" s="11" t="s">
        <v>4</v>
      </c>
      <c r="F2845" s="12">
        <v>29901</v>
      </c>
      <c r="G2845" s="12">
        <v>29901</v>
      </c>
      <c r="H2845" s="11" t="str">
        <f t="shared" si="92"/>
        <v>平成6年9月14日</v>
      </c>
      <c r="I2845" s="22">
        <f t="shared" si="93"/>
        <v>34591</v>
      </c>
      <c r="J2845" s="1" t="str">
        <f>"00742327"</f>
        <v>00742327</v>
      </c>
      <c r="K2845" s="1" t="str">
        <f>"１７２８　　　　　　　　　　　　　　　　"</f>
        <v>１７２８　　　　　　　　　　　　　　　　</v>
      </c>
      <c r="L2845" s="1"/>
    </row>
    <row r="2846" spans="1:12" ht="18" customHeight="1" x14ac:dyDescent="0.15">
      <c r="A2846" s="11">
        <v>2966</v>
      </c>
      <c r="B2846" s="11" t="s">
        <v>53</v>
      </c>
      <c r="C2846" s="11" t="s">
        <v>164</v>
      </c>
      <c r="D2846" s="11">
        <v>1</v>
      </c>
      <c r="E2846" s="11" t="s">
        <v>4</v>
      </c>
      <c r="F2846" s="12">
        <v>29901</v>
      </c>
      <c r="G2846" s="12">
        <v>29901</v>
      </c>
      <c r="H2846" s="11" t="str">
        <f t="shared" si="92"/>
        <v>平成6年9月14日</v>
      </c>
      <c r="I2846" s="22">
        <f t="shared" si="93"/>
        <v>34591</v>
      </c>
      <c r="J2846" s="1" t="str">
        <f>"00742329"</f>
        <v>00742329</v>
      </c>
      <c r="K2846" s="1" t="str">
        <f>"１７２９　　　　　　　　　　　　　　　　"</f>
        <v>１７２９　　　　　　　　　　　　　　　　</v>
      </c>
      <c r="L2846" s="1"/>
    </row>
    <row r="2847" spans="1:12" ht="18" customHeight="1" x14ac:dyDescent="0.15">
      <c r="A2847" s="11">
        <v>2967</v>
      </c>
      <c r="B2847" s="11" t="s">
        <v>53</v>
      </c>
      <c r="C2847" s="11" t="s">
        <v>164</v>
      </c>
      <c r="D2847" s="11">
        <v>1</v>
      </c>
      <c r="E2847" s="11" t="s">
        <v>4</v>
      </c>
      <c r="F2847" s="12">
        <v>29901</v>
      </c>
      <c r="G2847" s="12">
        <v>29901</v>
      </c>
      <c r="H2847" s="11" t="str">
        <f t="shared" si="92"/>
        <v>平成6年9月14日</v>
      </c>
      <c r="I2847" s="22">
        <f t="shared" si="93"/>
        <v>34591</v>
      </c>
      <c r="J2847" s="1" t="str">
        <f>"00742331"</f>
        <v>00742331</v>
      </c>
      <c r="K2847" s="1" t="str">
        <f>"１７３０　　　　　　　　　　　　　　　　"</f>
        <v>１７３０　　　　　　　　　　　　　　　　</v>
      </c>
      <c r="L2847" s="1"/>
    </row>
    <row r="2848" spans="1:12" ht="18" customHeight="1" x14ac:dyDescent="0.15">
      <c r="A2848" s="11">
        <v>2968</v>
      </c>
      <c r="B2848" s="11" t="s">
        <v>53</v>
      </c>
      <c r="C2848" s="11" t="s">
        <v>164</v>
      </c>
      <c r="D2848" s="11">
        <v>1</v>
      </c>
      <c r="E2848" s="11" t="s">
        <v>4</v>
      </c>
      <c r="F2848" s="12">
        <v>29901</v>
      </c>
      <c r="G2848" s="12">
        <v>29901</v>
      </c>
      <c r="H2848" s="11" t="str">
        <f t="shared" si="92"/>
        <v>平成6年9月14日</v>
      </c>
      <c r="I2848" s="22">
        <f t="shared" si="93"/>
        <v>34591</v>
      </c>
      <c r="J2848" s="1" t="str">
        <f>"00742333"</f>
        <v>00742333</v>
      </c>
      <c r="K2848" s="1" t="str">
        <f>"１７３１　　　　　　　　　　　　　　　　"</f>
        <v>１７３１　　　　　　　　　　　　　　　　</v>
      </c>
      <c r="L2848" s="1"/>
    </row>
    <row r="2849" spans="1:12" ht="18" customHeight="1" x14ac:dyDescent="0.15">
      <c r="A2849" s="11">
        <v>2969</v>
      </c>
      <c r="B2849" s="11" t="s">
        <v>53</v>
      </c>
      <c r="C2849" s="11" t="s">
        <v>164</v>
      </c>
      <c r="D2849" s="11">
        <v>1</v>
      </c>
      <c r="E2849" s="11" t="s">
        <v>4</v>
      </c>
      <c r="F2849" s="12">
        <v>29901</v>
      </c>
      <c r="G2849" s="12">
        <v>29901</v>
      </c>
      <c r="H2849" s="11" t="str">
        <f t="shared" si="92"/>
        <v>平成6年9月14日</v>
      </c>
      <c r="I2849" s="22">
        <f t="shared" si="93"/>
        <v>34591</v>
      </c>
      <c r="J2849" s="1" t="str">
        <f>"00742335"</f>
        <v>00742335</v>
      </c>
      <c r="K2849" s="1" t="str">
        <f>"１７３２　　　　　　　　　　　　　　　　"</f>
        <v>１７３２　　　　　　　　　　　　　　　　</v>
      </c>
      <c r="L2849" s="1"/>
    </row>
    <row r="2850" spans="1:12" ht="18" customHeight="1" x14ac:dyDescent="0.15">
      <c r="A2850" s="11">
        <v>2970</v>
      </c>
      <c r="B2850" s="11" t="s">
        <v>53</v>
      </c>
      <c r="C2850" s="11" t="s">
        <v>164</v>
      </c>
      <c r="D2850" s="11">
        <v>1</v>
      </c>
      <c r="E2850" s="11" t="s">
        <v>4</v>
      </c>
      <c r="F2850" s="12">
        <v>29901</v>
      </c>
      <c r="G2850" s="12">
        <v>29901</v>
      </c>
      <c r="H2850" s="11" t="str">
        <f t="shared" si="92"/>
        <v>平成6年9月14日</v>
      </c>
      <c r="I2850" s="22">
        <f t="shared" si="93"/>
        <v>34591</v>
      </c>
      <c r="J2850" s="1" t="str">
        <f>"00742337"</f>
        <v>00742337</v>
      </c>
      <c r="K2850" s="1" t="str">
        <f>"１７３３　　　　　　　　　　　　　　　　"</f>
        <v>１７３３　　　　　　　　　　　　　　　　</v>
      </c>
      <c r="L2850" s="1"/>
    </row>
    <row r="2851" spans="1:12" ht="18" customHeight="1" x14ac:dyDescent="0.15">
      <c r="A2851" s="11">
        <v>2971</v>
      </c>
      <c r="B2851" s="11" t="s">
        <v>53</v>
      </c>
      <c r="C2851" s="11" t="s">
        <v>164</v>
      </c>
      <c r="D2851" s="11">
        <v>1</v>
      </c>
      <c r="E2851" s="11" t="s">
        <v>4</v>
      </c>
      <c r="F2851" s="12">
        <v>29901</v>
      </c>
      <c r="G2851" s="12">
        <v>29901</v>
      </c>
      <c r="H2851" s="11" t="str">
        <f t="shared" si="92"/>
        <v>平成6年9月14日</v>
      </c>
      <c r="I2851" s="22">
        <f t="shared" si="93"/>
        <v>34591</v>
      </c>
      <c r="J2851" s="1" t="str">
        <f>"00742339"</f>
        <v>00742339</v>
      </c>
      <c r="K2851" s="1" t="str">
        <f>"１７３４　　　　　　　　　　　　　　　　"</f>
        <v>１７３４　　　　　　　　　　　　　　　　</v>
      </c>
      <c r="L2851" s="1"/>
    </row>
    <row r="2852" spans="1:12" ht="18" customHeight="1" x14ac:dyDescent="0.15">
      <c r="A2852" s="11">
        <v>2972</v>
      </c>
      <c r="B2852" s="11" t="s">
        <v>53</v>
      </c>
      <c r="C2852" s="11" t="s">
        <v>164</v>
      </c>
      <c r="D2852" s="11">
        <v>1</v>
      </c>
      <c r="E2852" s="11" t="s">
        <v>4</v>
      </c>
      <c r="F2852" s="12">
        <v>29901</v>
      </c>
      <c r="G2852" s="12">
        <v>29901</v>
      </c>
      <c r="H2852" s="11" t="str">
        <f t="shared" si="92"/>
        <v>平成6年9月14日</v>
      </c>
      <c r="I2852" s="22">
        <f t="shared" si="93"/>
        <v>34591</v>
      </c>
      <c r="J2852" s="1" t="str">
        <f>"00742341"</f>
        <v>00742341</v>
      </c>
      <c r="K2852" s="1" t="str">
        <f>"１７３５　　　　　　　　　　　　　　　　"</f>
        <v>１７３５　　　　　　　　　　　　　　　　</v>
      </c>
      <c r="L2852" s="1"/>
    </row>
    <row r="2853" spans="1:12" ht="18" customHeight="1" x14ac:dyDescent="0.15">
      <c r="A2853" s="11">
        <v>2973</v>
      </c>
      <c r="B2853" s="11" t="s">
        <v>53</v>
      </c>
      <c r="C2853" s="11" t="s">
        <v>164</v>
      </c>
      <c r="D2853" s="11">
        <v>1</v>
      </c>
      <c r="E2853" s="11" t="s">
        <v>4</v>
      </c>
      <c r="F2853" s="12">
        <v>29901</v>
      </c>
      <c r="G2853" s="12">
        <v>29901</v>
      </c>
      <c r="H2853" s="11" t="str">
        <f t="shared" si="92"/>
        <v>平成6年9月14日</v>
      </c>
      <c r="I2853" s="22">
        <f t="shared" si="93"/>
        <v>34591</v>
      </c>
      <c r="J2853" s="1" t="str">
        <f>"00742343"</f>
        <v>00742343</v>
      </c>
      <c r="K2853" s="1" t="str">
        <f>"１７３６　　　　　　　　　　　　　　　　"</f>
        <v>１７３６　　　　　　　　　　　　　　　　</v>
      </c>
      <c r="L2853" s="1"/>
    </row>
    <row r="2854" spans="1:12" ht="18" customHeight="1" x14ac:dyDescent="0.15">
      <c r="A2854" s="11">
        <v>2974</v>
      </c>
      <c r="B2854" s="11" t="s">
        <v>53</v>
      </c>
      <c r="C2854" s="11" t="s">
        <v>164</v>
      </c>
      <c r="D2854" s="11">
        <v>1</v>
      </c>
      <c r="E2854" s="11" t="s">
        <v>4</v>
      </c>
      <c r="F2854" s="12">
        <v>29901</v>
      </c>
      <c r="G2854" s="12">
        <v>29901</v>
      </c>
      <c r="H2854" s="11" t="str">
        <f t="shared" si="92"/>
        <v>平成6年9月14日</v>
      </c>
      <c r="I2854" s="22">
        <f t="shared" si="93"/>
        <v>34591</v>
      </c>
      <c r="J2854" s="1" t="str">
        <f>"00742345"</f>
        <v>00742345</v>
      </c>
      <c r="K2854" s="1" t="str">
        <f>"１７３７　　　　　　　　　　　　　　　　"</f>
        <v>１７３７　　　　　　　　　　　　　　　　</v>
      </c>
      <c r="L2854" s="1"/>
    </row>
    <row r="2855" spans="1:12" ht="18" customHeight="1" x14ac:dyDescent="0.15">
      <c r="A2855" s="11">
        <v>2975</v>
      </c>
      <c r="B2855" s="11" t="s">
        <v>53</v>
      </c>
      <c r="C2855" s="11" t="s">
        <v>164</v>
      </c>
      <c r="D2855" s="11">
        <v>1</v>
      </c>
      <c r="E2855" s="11" t="s">
        <v>4</v>
      </c>
      <c r="F2855" s="12">
        <v>29901</v>
      </c>
      <c r="G2855" s="12">
        <v>29901</v>
      </c>
      <c r="H2855" s="11" t="str">
        <f t="shared" si="92"/>
        <v>平成6年9月14日</v>
      </c>
      <c r="I2855" s="22">
        <f t="shared" si="93"/>
        <v>34591</v>
      </c>
      <c r="J2855" s="1" t="str">
        <f>"00742347"</f>
        <v>00742347</v>
      </c>
      <c r="K2855" s="1" t="str">
        <f>"１７３８　　　　　　　　　　　　　　　　"</f>
        <v>１７３８　　　　　　　　　　　　　　　　</v>
      </c>
      <c r="L2855" s="1"/>
    </row>
    <row r="2856" spans="1:12" ht="18" customHeight="1" x14ac:dyDescent="0.15">
      <c r="A2856" s="11">
        <v>2976</v>
      </c>
      <c r="B2856" s="11" t="s">
        <v>53</v>
      </c>
      <c r="C2856" s="11" t="s">
        <v>164</v>
      </c>
      <c r="D2856" s="11">
        <v>1</v>
      </c>
      <c r="E2856" s="11" t="s">
        <v>4</v>
      </c>
      <c r="F2856" s="12">
        <v>29901</v>
      </c>
      <c r="G2856" s="12">
        <v>29901</v>
      </c>
      <c r="H2856" s="11" t="str">
        <f t="shared" si="92"/>
        <v>平成6年9月14日</v>
      </c>
      <c r="I2856" s="22">
        <f t="shared" si="93"/>
        <v>34591</v>
      </c>
      <c r="J2856" s="1" t="str">
        <f>"00742349"</f>
        <v>00742349</v>
      </c>
      <c r="K2856" s="1" t="str">
        <f>"１７３９　　　　　　　　　　　　　　　　"</f>
        <v>１７３９　　　　　　　　　　　　　　　　</v>
      </c>
      <c r="L2856" s="1"/>
    </row>
    <row r="2857" spans="1:12" ht="18" customHeight="1" x14ac:dyDescent="0.15">
      <c r="A2857" s="11">
        <v>2977</v>
      </c>
      <c r="B2857" s="11" t="s">
        <v>53</v>
      </c>
      <c r="C2857" s="11" t="s">
        <v>164</v>
      </c>
      <c r="D2857" s="11">
        <v>1</v>
      </c>
      <c r="E2857" s="11" t="s">
        <v>4</v>
      </c>
      <c r="F2857" s="12">
        <v>29901</v>
      </c>
      <c r="G2857" s="12">
        <v>29901</v>
      </c>
      <c r="H2857" s="11" t="str">
        <f t="shared" si="92"/>
        <v>平成6年9月14日</v>
      </c>
      <c r="I2857" s="22">
        <f t="shared" si="93"/>
        <v>34591</v>
      </c>
      <c r="J2857" s="1" t="str">
        <f>"00742351"</f>
        <v>00742351</v>
      </c>
      <c r="K2857" s="1" t="str">
        <f>"１７４０　　　　　　　　　　　　　　　　"</f>
        <v>１７４０　　　　　　　　　　　　　　　　</v>
      </c>
      <c r="L2857" s="1"/>
    </row>
    <row r="2858" spans="1:12" ht="18" customHeight="1" x14ac:dyDescent="0.15">
      <c r="A2858" s="11">
        <v>2978</v>
      </c>
      <c r="B2858" s="11" t="s">
        <v>53</v>
      </c>
      <c r="C2858" s="11" t="s">
        <v>164</v>
      </c>
      <c r="D2858" s="11">
        <v>1</v>
      </c>
      <c r="E2858" s="11" t="s">
        <v>4</v>
      </c>
      <c r="F2858" s="12">
        <v>29901</v>
      </c>
      <c r="G2858" s="12">
        <v>29901</v>
      </c>
      <c r="H2858" s="11" t="str">
        <f t="shared" si="92"/>
        <v>平成6年9月14日</v>
      </c>
      <c r="I2858" s="22">
        <f t="shared" si="93"/>
        <v>34591</v>
      </c>
      <c r="J2858" s="1" t="str">
        <f>"00742353"</f>
        <v>00742353</v>
      </c>
      <c r="K2858" s="1" t="str">
        <f>"１７４１　　　　　　　　　　　　　　　　"</f>
        <v>１７４１　　　　　　　　　　　　　　　　</v>
      </c>
      <c r="L2858" s="1"/>
    </row>
    <row r="2859" spans="1:12" ht="18" customHeight="1" x14ac:dyDescent="0.15">
      <c r="A2859" s="11">
        <v>2979</v>
      </c>
      <c r="B2859" s="11" t="s">
        <v>53</v>
      </c>
      <c r="C2859" s="11" t="s">
        <v>164</v>
      </c>
      <c r="D2859" s="11">
        <v>1</v>
      </c>
      <c r="E2859" s="11" t="s">
        <v>4</v>
      </c>
      <c r="F2859" s="12">
        <v>29901</v>
      </c>
      <c r="G2859" s="12">
        <v>29901</v>
      </c>
      <c r="H2859" s="11" t="str">
        <f t="shared" si="92"/>
        <v>平成6年9月14日</v>
      </c>
      <c r="I2859" s="22">
        <f t="shared" si="93"/>
        <v>34591</v>
      </c>
      <c r="J2859" s="1" t="str">
        <f>"00742355"</f>
        <v>00742355</v>
      </c>
      <c r="K2859" s="1" t="str">
        <f>"１７４２　　　　　　　　　　　　　　　　"</f>
        <v>１７４２　　　　　　　　　　　　　　　　</v>
      </c>
      <c r="L2859" s="1"/>
    </row>
    <row r="2860" spans="1:12" ht="18" customHeight="1" x14ac:dyDescent="0.15">
      <c r="A2860" s="11">
        <v>2980</v>
      </c>
      <c r="B2860" s="11" t="s">
        <v>53</v>
      </c>
      <c r="C2860" s="11" t="s">
        <v>164</v>
      </c>
      <c r="D2860" s="11">
        <v>1</v>
      </c>
      <c r="E2860" s="11" t="s">
        <v>4</v>
      </c>
      <c r="F2860" s="12">
        <v>29901</v>
      </c>
      <c r="G2860" s="12">
        <v>29901</v>
      </c>
      <c r="H2860" s="11" t="str">
        <f t="shared" si="92"/>
        <v>平成6年9月14日</v>
      </c>
      <c r="I2860" s="22">
        <f t="shared" si="93"/>
        <v>34591</v>
      </c>
      <c r="J2860" s="1" t="str">
        <f>"00742357"</f>
        <v>00742357</v>
      </c>
      <c r="K2860" s="1" t="str">
        <f>"１７４３　　　　　　　　　　　　　　　　"</f>
        <v>１７４３　　　　　　　　　　　　　　　　</v>
      </c>
      <c r="L2860" s="1"/>
    </row>
    <row r="2861" spans="1:12" ht="18" customHeight="1" x14ac:dyDescent="0.15">
      <c r="A2861" s="11">
        <v>2981</v>
      </c>
      <c r="B2861" s="11" t="s">
        <v>53</v>
      </c>
      <c r="C2861" s="11" t="s">
        <v>164</v>
      </c>
      <c r="D2861" s="11">
        <v>1</v>
      </c>
      <c r="E2861" s="11" t="s">
        <v>4</v>
      </c>
      <c r="F2861" s="12">
        <v>29901</v>
      </c>
      <c r="G2861" s="12">
        <v>29901</v>
      </c>
      <c r="H2861" s="11" t="str">
        <f t="shared" si="92"/>
        <v>平成6年9月14日</v>
      </c>
      <c r="I2861" s="22">
        <f t="shared" si="93"/>
        <v>34591</v>
      </c>
      <c r="J2861" s="1" t="str">
        <f>"00742359"</f>
        <v>00742359</v>
      </c>
      <c r="K2861" s="1" t="str">
        <f>"１７４４　　　　　　　　　　　　　　　　"</f>
        <v>１７４４　　　　　　　　　　　　　　　　</v>
      </c>
      <c r="L2861" s="1"/>
    </row>
    <row r="2862" spans="1:12" ht="18" customHeight="1" x14ac:dyDescent="0.15">
      <c r="A2862" s="11">
        <v>2982</v>
      </c>
      <c r="B2862" s="11" t="s">
        <v>53</v>
      </c>
      <c r="C2862" s="11" t="s">
        <v>164</v>
      </c>
      <c r="D2862" s="11">
        <v>1</v>
      </c>
      <c r="E2862" s="11" t="s">
        <v>4</v>
      </c>
      <c r="F2862" s="12">
        <v>29901</v>
      </c>
      <c r="G2862" s="12">
        <v>29901</v>
      </c>
      <c r="H2862" s="11" t="str">
        <f t="shared" si="92"/>
        <v>平成6年9月14日</v>
      </c>
      <c r="I2862" s="22">
        <f t="shared" si="93"/>
        <v>34591</v>
      </c>
      <c r="J2862" s="1" t="str">
        <f>"00742361"</f>
        <v>00742361</v>
      </c>
      <c r="K2862" s="1" t="str">
        <f>"１７４５　　　　　　　　　　　　　　　　"</f>
        <v>１７４５　　　　　　　　　　　　　　　　</v>
      </c>
      <c r="L2862" s="1"/>
    </row>
    <row r="2863" spans="1:12" ht="18" customHeight="1" x14ac:dyDescent="0.15">
      <c r="A2863" s="11">
        <v>2983</v>
      </c>
      <c r="B2863" s="11" t="s">
        <v>53</v>
      </c>
      <c r="C2863" s="11" t="s">
        <v>164</v>
      </c>
      <c r="D2863" s="11">
        <v>1</v>
      </c>
      <c r="E2863" s="11" t="s">
        <v>4</v>
      </c>
      <c r="F2863" s="12">
        <v>29901</v>
      </c>
      <c r="G2863" s="12">
        <v>29901</v>
      </c>
      <c r="H2863" s="11" t="str">
        <f t="shared" si="92"/>
        <v>平成6年9月14日</v>
      </c>
      <c r="I2863" s="22">
        <f t="shared" si="93"/>
        <v>34591</v>
      </c>
      <c r="J2863" s="1" t="str">
        <f>"00742363"</f>
        <v>00742363</v>
      </c>
      <c r="K2863" s="1" t="str">
        <f>"１７４６　　　　　　　　　　　　　　　　"</f>
        <v>１７４６　　　　　　　　　　　　　　　　</v>
      </c>
      <c r="L2863" s="1"/>
    </row>
    <row r="2864" spans="1:12" ht="18" customHeight="1" x14ac:dyDescent="0.15">
      <c r="A2864" s="11">
        <v>2984</v>
      </c>
      <c r="B2864" s="11" t="s">
        <v>53</v>
      </c>
      <c r="C2864" s="11" t="s">
        <v>164</v>
      </c>
      <c r="D2864" s="11">
        <v>1</v>
      </c>
      <c r="E2864" s="11" t="s">
        <v>4</v>
      </c>
      <c r="F2864" s="12">
        <v>29901</v>
      </c>
      <c r="G2864" s="12">
        <v>29901</v>
      </c>
      <c r="H2864" s="11" t="str">
        <f t="shared" si="92"/>
        <v>平成6年9月14日</v>
      </c>
      <c r="I2864" s="22">
        <f t="shared" si="93"/>
        <v>34591</v>
      </c>
      <c r="J2864" s="1" t="str">
        <f>"00742365"</f>
        <v>00742365</v>
      </c>
      <c r="K2864" s="1" t="str">
        <f>"１７４７　　　　　　　　　　　　　　　　"</f>
        <v>１７４７　　　　　　　　　　　　　　　　</v>
      </c>
      <c r="L2864" s="1"/>
    </row>
    <row r="2865" spans="1:12" ht="18" customHeight="1" x14ac:dyDescent="0.15">
      <c r="A2865" s="11">
        <v>2985</v>
      </c>
      <c r="B2865" s="11" t="s">
        <v>53</v>
      </c>
      <c r="C2865" s="11" t="s">
        <v>164</v>
      </c>
      <c r="D2865" s="11">
        <v>1</v>
      </c>
      <c r="E2865" s="11" t="s">
        <v>4</v>
      </c>
      <c r="F2865" s="12">
        <v>29901</v>
      </c>
      <c r="G2865" s="12">
        <v>29901</v>
      </c>
      <c r="H2865" s="11" t="str">
        <f t="shared" si="92"/>
        <v>平成6年9月14日</v>
      </c>
      <c r="I2865" s="22">
        <f t="shared" si="93"/>
        <v>34591</v>
      </c>
      <c r="J2865" s="1" t="str">
        <f>"00742367"</f>
        <v>00742367</v>
      </c>
      <c r="K2865" s="1" t="str">
        <f>"１７４８　　　　　　　　　　　　　　　　"</f>
        <v>１７４８　　　　　　　　　　　　　　　　</v>
      </c>
      <c r="L2865" s="1"/>
    </row>
    <row r="2866" spans="1:12" ht="18" customHeight="1" x14ac:dyDescent="0.15">
      <c r="A2866" s="11">
        <v>2986</v>
      </c>
      <c r="B2866" s="11" t="s">
        <v>53</v>
      </c>
      <c r="C2866" s="11" t="s">
        <v>164</v>
      </c>
      <c r="D2866" s="11">
        <v>1</v>
      </c>
      <c r="E2866" s="11" t="s">
        <v>4</v>
      </c>
      <c r="F2866" s="12">
        <v>29901</v>
      </c>
      <c r="G2866" s="12">
        <v>29901</v>
      </c>
      <c r="H2866" s="11" t="str">
        <f t="shared" si="92"/>
        <v>平成6年9月14日</v>
      </c>
      <c r="I2866" s="22">
        <f t="shared" si="93"/>
        <v>34591</v>
      </c>
      <c r="J2866" s="1" t="str">
        <f>"00742369"</f>
        <v>00742369</v>
      </c>
      <c r="K2866" s="1" t="str">
        <f>"１７４９　　　　　　　　　　　　　　　　"</f>
        <v>１７４９　　　　　　　　　　　　　　　　</v>
      </c>
      <c r="L2866" s="1"/>
    </row>
    <row r="2867" spans="1:12" ht="18" customHeight="1" x14ac:dyDescent="0.15">
      <c r="A2867" s="11">
        <v>2987</v>
      </c>
      <c r="B2867" s="11" t="s">
        <v>53</v>
      </c>
      <c r="C2867" s="11" t="s">
        <v>164</v>
      </c>
      <c r="D2867" s="11">
        <v>1</v>
      </c>
      <c r="E2867" s="11" t="s">
        <v>4</v>
      </c>
      <c r="F2867" s="12">
        <v>29901</v>
      </c>
      <c r="G2867" s="12">
        <v>29901</v>
      </c>
      <c r="H2867" s="11" t="str">
        <f t="shared" si="92"/>
        <v>平成6年9月14日</v>
      </c>
      <c r="I2867" s="22">
        <f t="shared" si="93"/>
        <v>34591</v>
      </c>
      <c r="J2867" s="1" t="str">
        <f>"00742371"</f>
        <v>00742371</v>
      </c>
      <c r="K2867" s="1" t="str">
        <f>"１７５０　　　　　　　　　　　　　　　　"</f>
        <v>１７５０　　　　　　　　　　　　　　　　</v>
      </c>
      <c r="L2867" s="1"/>
    </row>
    <row r="2868" spans="1:12" ht="18" customHeight="1" x14ac:dyDescent="0.15">
      <c r="A2868" s="11">
        <v>2988</v>
      </c>
      <c r="B2868" s="11" t="s">
        <v>53</v>
      </c>
      <c r="C2868" s="11" t="s">
        <v>164</v>
      </c>
      <c r="D2868" s="11">
        <v>1</v>
      </c>
      <c r="E2868" s="11" t="s">
        <v>4</v>
      </c>
      <c r="F2868" s="12">
        <v>29901</v>
      </c>
      <c r="G2868" s="12">
        <v>29901</v>
      </c>
      <c r="H2868" s="11" t="str">
        <f t="shared" si="92"/>
        <v>平成6年9月14日</v>
      </c>
      <c r="I2868" s="22">
        <f t="shared" si="93"/>
        <v>34591</v>
      </c>
      <c r="J2868" s="1" t="str">
        <f>"00742373"</f>
        <v>00742373</v>
      </c>
      <c r="K2868" s="1" t="str">
        <f>"１７５１　　　　　　　　　　　　　　　　"</f>
        <v>１７５１　　　　　　　　　　　　　　　　</v>
      </c>
      <c r="L2868" s="1"/>
    </row>
    <row r="2869" spans="1:12" ht="18" customHeight="1" x14ac:dyDescent="0.15">
      <c r="A2869" s="11">
        <v>2989</v>
      </c>
      <c r="B2869" s="11" t="s">
        <v>53</v>
      </c>
      <c r="C2869" s="11" t="s">
        <v>164</v>
      </c>
      <c r="D2869" s="11">
        <v>1</v>
      </c>
      <c r="E2869" s="11" t="s">
        <v>4</v>
      </c>
      <c r="F2869" s="12">
        <v>29901</v>
      </c>
      <c r="G2869" s="12">
        <v>29901</v>
      </c>
      <c r="H2869" s="11" t="str">
        <f t="shared" si="92"/>
        <v>平成6年9月14日</v>
      </c>
      <c r="I2869" s="22">
        <f t="shared" si="93"/>
        <v>34591</v>
      </c>
      <c r="J2869" s="1" t="str">
        <f>"00742375"</f>
        <v>00742375</v>
      </c>
      <c r="K2869" s="1" t="str">
        <f>"１７５２　　　　　　　　　　　　　　　　"</f>
        <v>１７５２　　　　　　　　　　　　　　　　</v>
      </c>
      <c r="L2869" s="1"/>
    </row>
    <row r="2870" spans="1:12" ht="18" customHeight="1" x14ac:dyDescent="0.15">
      <c r="A2870" s="11">
        <v>2990</v>
      </c>
      <c r="B2870" s="11" t="s">
        <v>53</v>
      </c>
      <c r="C2870" s="11" t="s">
        <v>164</v>
      </c>
      <c r="D2870" s="11">
        <v>1</v>
      </c>
      <c r="E2870" s="11" t="s">
        <v>4</v>
      </c>
      <c r="F2870" s="12">
        <v>29901</v>
      </c>
      <c r="G2870" s="12">
        <v>29901</v>
      </c>
      <c r="H2870" s="11" t="str">
        <f t="shared" si="92"/>
        <v>平成6年9月14日</v>
      </c>
      <c r="I2870" s="22">
        <f t="shared" si="93"/>
        <v>34591</v>
      </c>
      <c r="J2870" s="1" t="str">
        <f>"00742377"</f>
        <v>00742377</v>
      </c>
      <c r="K2870" s="1" t="str">
        <f>"１７５３　　　　　　　　　　　　　　　　"</f>
        <v>１７５３　　　　　　　　　　　　　　　　</v>
      </c>
      <c r="L2870" s="1"/>
    </row>
    <row r="2871" spans="1:12" ht="18" customHeight="1" x14ac:dyDescent="0.15">
      <c r="A2871" s="11">
        <v>2991</v>
      </c>
      <c r="B2871" s="11" t="s">
        <v>53</v>
      </c>
      <c r="C2871" s="11" t="s">
        <v>164</v>
      </c>
      <c r="D2871" s="11">
        <v>1</v>
      </c>
      <c r="E2871" s="11" t="s">
        <v>4</v>
      </c>
      <c r="F2871" s="12">
        <v>29901</v>
      </c>
      <c r="G2871" s="12">
        <v>29901</v>
      </c>
      <c r="H2871" s="11" t="str">
        <f t="shared" si="92"/>
        <v>平成6年9月14日</v>
      </c>
      <c r="I2871" s="22">
        <f t="shared" si="93"/>
        <v>34591</v>
      </c>
      <c r="J2871" s="1" t="str">
        <f>"00742379"</f>
        <v>00742379</v>
      </c>
      <c r="K2871" s="1" t="str">
        <f>"１７５４　　　　　　　　　　　　　　　　"</f>
        <v>１７５４　　　　　　　　　　　　　　　　</v>
      </c>
      <c r="L2871" s="1"/>
    </row>
    <row r="2872" spans="1:12" ht="18" customHeight="1" x14ac:dyDescent="0.15">
      <c r="A2872" s="11">
        <v>2992</v>
      </c>
      <c r="B2872" s="11" t="s">
        <v>53</v>
      </c>
      <c r="C2872" s="11" t="s">
        <v>164</v>
      </c>
      <c r="D2872" s="11">
        <v>1</v>
      </c>
      <c r="E2872" s="11" t="s">
        <v>4</v>
      </c>
      <c r="F2872" s="12">
        <v>29901</v>
      </c>
      <c r="G2872" s="12">
        <v>29901</v>
      </c>
      <c r="H2872" s="11" t="str">
        <f t="shared" si="92"/>
        <v>平成6年9月14日</v>
      </c>
      <c r="I2872" s="22">
        <f t="shared" si="93"/>
        <v>34591</v>
      </c>
      <c r="J2872" s="1" t="str">
        <f>"00742381"</f>
        <v>00742381</v>
      </c>
      <c r="K2872" s="1" t="str">
        <f>"１７５５　　　　　　　　　　　　　　　　"</f>
        <v>１７５５　　　　　　　　　　　　　　　　</v>
      </c>
      <c r="L2872" s="1"/>
    </row>
    <row r="2873" spans="1:12" ht="18" customHeight="1" x14ac:dyDescent="0.15">
      <c r="A2873" s="11">
        <v>2993</v>
      </c>
      <c r="B2873" s="11" t="s">
        <v>53</v>
      </c>
      <c r="C2873" s="11" t="s">
        <v>164</v>
      </c>
      <c r="D2873" s="11">
        <v>1</v>
      </c>
      <c r="E2873" s="11" t="s">
        <v>4</v>
      </c>
      <c r="F2873" s="12">
        <v>29901</v>
      </c>
      <c r="G2873" s="12">
        <v>29901</v>
      </c>
      <c r="H2873" s="11" t="str">
        <f t="shared" si="92"/>
        <v>平成6年9月14日</v>
      </c>
      <c r="I2873" s="22">
        <f t="shared" si="93"/>
        <v>34591</v>
      </c>
      <c r="J2873" s="1" t="str">
        <f>"00742383"</f>
        <v>00742383</v>
      </c>
      <c r="K2873" s="1" t="str">
        <f>"１７５６　　　　　　　　　　　　　　　　"</f>
        <v>１７５６　　　　　　　　　　　　　　　　</v>
      </c>
      <c r="L2873" s="1"/>
    </row>
    <row r="2874" spans="1:12" ht="18" customHeight="1" x14ac:dyDescent="0.15">
      <c r="A2874" s="11">
        <v>2994</v>
      </c>
      <c r="B2874" s="11" t="s">
        <v>53</v>
      </c>
      <c r="C2874" s="11" t="s">
        <v>164</v>
      </c>
      <c r="D2874" s="11">
        <v>1</v>
      </c>
      <c r="E2874" s="11" t="s">
        <v>4</v>
      </c>
      <c r="F2874" s="12">
        <v>29901</v>
      </c>
      <c r="G2874" s="12">
        <v>29901</v>
      </c>
      <c r="H2874" s="11" t="str">
        <f t="shared" si="92"/>
        <v>平成6年9月14日</v>
      </c>
      <c r="I2874" s="22">
        <f t="shared" si="93"/>
        <v>34591</v>
      </c>
      <c r="J2874" s="1" t="str">
        <f>"00742385"</f>
        <v>00742385</v>
      </c>
      <c r="K2874" s="1" t="str">
        <f>"１７５７　　　　　　　　　　　　　　　　"</f>
        <v>１７５７　　　　　　　　　　　　　　　　</v>
      </c>
      <c r="L2874" s="1"/>
    </row>
    <row r="2875" spans="1:12" ht="18" customHeight="1" x14ac:dyDescent="0.15">
      <c r="A2875" s="11">
        <v>2995</v>
      </c>
      <c r="B2875" s="11" t="s">
        <v>53</v>
      </c>
      <c r="C2875" s="11" t="s">
        <v>164</v>
      </c>
      <c r="D2875" s="11">
        <v>1</v>
      </c>
      <c r="E2875" s="11" t="s">
        <v>4</v>
      </c>
      <c r="F2875" s="12">
        <v>29901</v>
      </c>
      <c r="G2875" s="12">
        <v>29901</v>
      </c>
      <c r="H2875" s="11" t="str">
        <f t="shared" si="92"/>
        <v>平成6年9月14日</v>
      </c>
      <c r="I2875" s="22">
        <f t="shared" si="93"/>
        <v>34591</v>
      </c>
      <c r="J2875" s="1" t="str">
        <f>"00742387"</f>
        <v>00742387</v>
      </c>
      <c r="K2875" s="1" t="str">
        <f>"１７５８　　　　　　　　　　　　　　　　"</f>
        <v>１７５８　　　　　　　　　　　　　　　　</v>
      </c>
      <c r="L2875" s="1"/>
    </row>
    <row r="2876" spans="1:12" ht="18" customHeight="1" x14ac:dyDescent="0.15">
      <c r="A2876" s="11">
        <v>2996</v>
      </c>
      <c r="B2876" s="11" t="s">
        <v>53</v>
      </c>
      <c r="C2876" s="11" t="s">
        <v>164</v>
      </c>
      <c r="D2876" s="11">
        <v>1</v>
      </c>
      <c r="E2876" s="11" t="s">
        <v>4</v>
      </c>
      <c r="F2876" s="12">
        <v>29901</v>
      </c>
      <c r="G2876" s="12">
        <v>29901</v>
      </c>
      <c r="H2876" s="11" t="str">
        <f t="shared" si="92"/>
        <v>平成6年9月14日</v>
      </c>
      <c r="I2876" s="22">
        <f t="shared" si="93"/>
        <v>34591</v>
      </c>
      <c r="J2876" s="1" t="str">
        <f>"00742389"</f>
        <v>00742389</v>
      </c>
      <c r="K2876" s="1" t="str">
        <f>"１７５９　　　　　　　　　　　　　　　　"</f>
        <v>１７５９　　　　　　　　　　　　　　　　</v>
      </c>
      <c r="L2876" s="1"/>
    </row>
    <row r="2877" spans="1:12" ht="18" customHeight="1" x14ac:dyDescent="0.15">
      <c r="A2877" s="11">
        <v>2997</v>
      </c>
      <c r="B2877" s="11" t="s">
        <v>53</v>
      </c>
      <c r="C2877" s="11" t="s">
        <v>164</v>
      </c>
      <c r="D2877" s="11">
        <v>1</v>
      </c>
      <c r="E2877" s="11" t="s">
        <v>4</v>
      </c>
      <c r="F2877" s="12">
        <v>29901</v>
      </c>
      <c r="G2877" s="12">
        <v>29901</v>
      </c>
      <c r="H2877" s="11" t="str">
        <f t="shared" si="92"/>
        <v>平成6年9月14日</v>
      </c>
      <c r="I2877" s="22">
        <f t="shared" si="93"/>
        <v>34591</v>
      </c>
      <c r="J2877" s="1" t="str">
        <f>"00742391"</f>
        <v>00742391</v>
      </c>
      <c r="K2877" s="1" t="str">
        <f>"１７６０　　　　　　　　　　　　　　　　"</f>
        <v>１７６０　　　　　　　　　　　　　　　　</v>
      </c>
      <c r="L2877" s="1"/>
    </row>
    <row r="2878" spans="1:12" ht="18" customHeight="1" x14ac:dyDescent="0.15">
      <c r="A2878" s="11">
        <v>2998</v>
      </c>
      <c r="B2878" s="11" t="s">
        <v>53</v>
      </c>
      <c r="C2878" s="11" t="s">
        <v>164</v>
      </c>
      <c r="D2878" s="11">
        <v>1</v>
      </c>
      <c r="E2878" s="11" t="s">
        <v>4</v>
      </c>
      <c r="F2878" s="12">
        <v>29901</v>
      </c>
      <c r="G2878" s="12">
        <v>29901</v>
      </c>
      <c r="H2878" s="11" t="str">
        <f t="shared" si="92"/>
        <v>平成6年9月14日</v>
      </c>
      <c r="I2878" s="22">
        <f t="shared" si="93"/>
        <v>34591</v>
      </c>
      <c r="J2878" s="1" t="str">
        <f>"00742393"</f>
        <v>00742393</v>
      </c>
      <c r="K2878" s="1" t="str">
        <f>"１７６１　　　　　　　　　　　　　　　　"</f>
        <v>１７６１　　　　　　　　　　　　　　　　</v>
      </c>
      <c r="L2878" s="1"/>
    </row>
    <row r="2879" spans="1:12" ht="18" customHeight="1" x14ac:dyDescent="0.15">
      <c r="A2879" s="11">
        <v>2999</v>
      </c>
      <c r="B2879" s="11" t="s">
        <v>53</v>
      </c>
      <c r="C2879" s="11" t="s">
        <v>164</v>
      </c>
      <c r="D2879" s="11">
        <v>1</v>
      </c>
      <c r="E2879" s="11" t="s">
        <v>4</v>
      </c>
      <c r="F2879" s="12">
        <v>29901</v>
      </c>
      <c r="G2879" s="12">
        <v>29901</v>
      </c>
      <c r="H2879" s="11" t="str">
        <f t="shared" si="92"/>
        <v>平成6年9月14日</v>
      </c>
      <c r="I2879" s="22">
        <f t="shared" si="93"/>
        <v>34591</v>
      </c>
      <c r="J2879" s="1" t="str">
        <f>"00742395"</f>
        <v>00742395</v>
      </c>
      <c r="K2879" s="1" t="str">
        <f>"１７６２　　　　　　　　　　　　　　　　"</f>
        <v>１７６２　　　　　　　　　　　　　　　　</v>
      </c>
      <c r="L2879" s="1"/>
    </row>
    <row r="2880" spans="1:12" ht="18" customHeight="1" x14ac:dyDescent="0.15">
      <c r="A2880" s="11">
        <v>3000</v>
      </c>
      <c r="B2880" s="11" t="s">
        <v>53</v>
      </c>
      <c r="C2880" s="11" t="s">
        <v>164</v>
      </c>
      <c r="D2880" s="11">
        <v>1</v>
      </c>
      <c r="E2880" s="11" t="s">
        <v>4</v>
      </c>
      <c r="F2880" s="12">
        <v>29901</v>
      </c>
      <c r="G2880" s="12">
        <v>29901</v>
      </c>
      <c r="H2880" s="11" t="str">
        <f t="shared" si="92"/>
        <v>平成6年9月14日</v>
      </c>
      <c r="I2880" s="22">
        <f t="shared" si="93"/>
        <v>34591</v>
      </c>
      <c r="J2880" s="1" t="str">
        <f>"00742397"</f>
        <v>00742397</v>
      </c>
      <c r="K2880" s="1" t="str">
        <f>"１７６３　　　　　　　　　　　　　　　　"</f>
        <v>１７６３　　　　　　　　　　　　　　　　</v>
      </c>
      <c r="L2880" s="1"/>
    </row>
    <row r="2881" spans="1:12" ht="18" customHeight="1" x14ac:dyDescent="0.15">
      <c r="A2881" s="11">
        <v>3001</v>
      </c>
      <c r="B2881" s="11" t="s">
        <v>53</v>
      </c>
      <c r="C2881" s="11" t="s">
        <v>164</v>
      </c>
      <c r="D2881" s="11">
        <v>1</v>
      </c>
      <c r="E2881" s="11" t="s">
        <v>4</v>
      </c>
      <c r="F2881" s="12">
        <v>29901</v>
      </c>
      <c r="G2881" s="12">
        <v>29901</v>
      </c>
      <c r="H2881" s="11" t="str">
        <f t="shared" si="92"/>
        <v>平成6年9月14日</v>
      </c>
      <c r="I2881" s="22">
        <f t="shared" si="93"/>
        <v>34591</v>
      </c>
      <c r="J2881" s="1" t="str">
        <f>"00742399"</f>
        <v>00742399</v>
      </c>
      <c r="K2881" s="1" t="str">
        <f>"１７６４　　　　　　　　　　　　　　　　"</f>
        <v>１７６４　　　　　　　　　　　　　　　　</v>
      </c>
      <c r="L2881" s="1"/>
    </row>
    <row r="2882" spans="1:12" ht="18" customHeight="1" x14ac:dyDescent="0.15">
      <c r="A2882" s="11">
        <v>3002</v>
      </c>
      <c r="B2882" s="11" t="s">
        <v>53</v>
      </c>
      <c r="C2882" s="11" t="s">
        <v>164</v>
      </c>
      <c r="D2882" s="11">
        <v>1</v>
      </c>
      <c r="E2882" s="11" t="s">
        <v>4</v>
      </c>
      <c r="F2882" s="12">
        <v>29901</v>
      </c>
      <c r="G2882" s="12">
        <v>29901</v>
      </c>
      <c r="H2882" s="11" t="str">
        <f t="shared" si="92"/>
        <v>平成6年9月14日</v>
      </c>
      <c r="I2882" s="22">
        <f t="shared" si="93"/>
        <v>34591</v>
      </c>
      <c r="J2882" s="1" t="str">
        <f>"00742401"</f>
        <v>00742401</v>
      </c>
      <c r="K2882" s="1" t="str">
        <f>"１７６５　　　　　　　　　　　　　　　　"</f>
        <v>１７６５　　　　　　　　　　　　　　　　</v>
      </c>
      <c r="L2882" s="1"/>
    </row>
    <row r="2883" spans="1:12" ht="18" customHeight="1" x14ac:dyDescent="0.15">
      <c r="A2883" s="11">
        <v>3003</v>
      </c>
      <c r="B2883" s="11" t="s">
        <v>53</v>
      </c>
      <c r="C2883" s="11" t="s">
        <v>164</v>
      </c>
      <c r="D2883" s="11">
        <v>1</v>
      </c>
      <c r="E2883" s="11" t="s">
        <v>4</v>
      </c>
      <c r="F2883" s="12">
        <v>29901</v>
      </c>
      <c r="G2883" s="12">
        <v>29901</v>
      </c>
      <c r="H2883" s="11" t="str">
        <f t="shared" si="92"/>
        <v>平成6年9月14日</v>
      </c>
      <c r="I2883" s="22">
        <f t="shared" si="93"/>
        <v>34591</v>
      </c>
      <c r="J2883" s="1" t="str">
        <f>"00742403"</f>
        <v>00742403</v>
      </c>
      <c r="K2883" s="1" t="str">
        <f>"１７６６　　　　　　　　　　　　　　　　"</f>
        <v>１７６６　　　　　　　　　　　　　　　　</v>
      </c>
      <c r="L2883" s="1"/>
    </row>
    <row r="2884" spans="1:12" ht="18" customHeight="1" x14ac:dyDescent="0.15">
      <c r="A2884" s="11">
        <v>3004</v>
      </c>
      <c r="B2884" s="11" t="s">
        <v>53</v>
      </c>
      <c r="C2884" s="11" t="s">
        <v>164</v>
      </c>
      <c r="D2884" s="11">
        <v>1</v>
      </c>
      <c r="E2884" s="11" t="s">
        <v>4</v>
      </c>
      <c r="F2884" s="12">
        <v>29901</v>
      </c>
      <c r="G2884" s="12">
        <v>29901</v>
      </c>
      <c r="H2884" s="11" t="str">
        <f t="shared" si="92"/>
        <v>平成6年9月14日</v>
      </c>
      <c r="I2884" s="22">
        <f t="shared" si="93"/>
        <v>34591</v>
      </c>
      <c r="J2884" s="1" t="str">
        <f>"00742405"</f>
        <v>00742405</v>
      </c>
      <c r="K2884" s="1" t="str">
        <f>"１７６７　　　　　　　　　　　　　　　　"</f>
        <v>１７６７　　　　　　　　　　　　　　　　</v>
      </c>
      <c r="L2884" s="1"/>
    </row>
    <row r="2885" spans="1:12" ht="18" customHeight="1" x14ac:dyDescent="0.15">
      <c r="A2885" s="11">
        <v>3005</v>
      </c>
      <c r="B2885" s="11" t="s">
        <v>53</v>
      </c>
      <c r="C2885" s="11" t="s">
        <v>164</v>
      </c>
      <c r="D2885" s="11">
        <v>1</v>
      </c>
      <c r="E2885" s="11" t="s">
        <v>4</v>
      </c>
      <c r="F2885" s="12">
        <v>29901</v>
      </c>
      <c r="G2885" s="12">
        <v>29901</v>
      </c>
      <c r="H2885" s="11" t="str">
        <f t="shared" si="92"/>
        <v>平成6年9月14日</v>
      </c>
      <c r="I2885" s="22">
        <f t="shared" si="93"/>
        <v>34591</v>
      </c>
      <c r="J2885" s="1" t="str">
        <f>"00742407"</f>
        <v>00742407</v>
      </c>
      <c r="K2885" s="1" t="str">
        <f>"１７６８　　　　　　　　　　　　　　　　"</f>
        <v>１７６８　　　　　　　　　　　　　　　　</v>
      </c>
      <c r="L2885" s="1"/>
    </row>
    <row r="2886" spans="1:12" ht="18" customHeight="1" x14ac:dyDescent="0.15">
      <c r="A2886" s="11">
        <v>3006</v>
      </c>
      <c r="B2886" s="11" t="s">
        <v>53</v>
      </c>
      <c r="C2886" s="11" t="s">
        <v>164</v>
      </c>
      <c r="D2886" s="11">
        <v>1</v>
      </c>
      <c r="E2886" s="11" t="s">
        <v>4</v>
      </c>
      <c r="F2886" s="12">
        <v>29901</v>
      </c>
      <c r="G2886" s="12">
        <v>29901</v>
      </c>
      <c r="H2886" s="11" t="str">
        <f t="shared" si="92"/>
        <v>平成6年9月14日</v>
      </c>
      <c r="I2886" s="22">
        <f t="shared" si="93"/>
        <v>34591</v>
      </c>
      <c r="J2886" s="1" t="str">
        <f>"00742409"</f>
        <v>00742409</v>
      </c>
      <c r="K2886" s="1" t="str">
        <f>"１７６９　　　　　　　　　　　　　　　　"</f>
        <v>１７６９　　　　　　　　　　　　　　　　</v>
      </c>
      <c r="L2886" s="1"/>
    </row>
    <row r="2887" spans="1:12" ht="18" customHeight="1" x14ac:dyDescent="0.15">
      <c r="A2887" s="11">
        <v>3007</v>
      </c>
      <c r="B2887" s="11" t="s">
        <v>53</v>
      </c>
      <c r="C2887" s="11" t="s">
        <v>164</v>
      </c>
      <c r="D2887" s="11">
        <v>1</v>
      </c>
      <c r="E2887" s="11" t="s">
        <v>4</v>
      </c>
      <c r="F2887" s="12">
        <v>29901</v>
      </c>
      <c r="G2887" s="12">
        <v>29901</v>
      </c>
      <c r="H2887" s="11" t="str">
        <f t="shared" si="92"/>
        <v>平成6年9月14日</v>
      </c>
      <c r="I2887" s="22">
        <f t="shared" si="93"/>
        <v>34591</v>
      </c>
      <c r="J2887" s="1" t="str">
        <f>"00742411"</f>
        <v>00742411</v>
      </c>
      <c r="K2887" s="1" t="str">
        <f>"１７７０　　　　　　　　　　　　　　　　"</f>
        <v>１７７０　　　　　　　　　　　　　　　　</v>
      </c>
      <c r="L2887" s="1"/>
    </row>
    <row r="2888" spans="1:12" ht="18" customHeight="1" x14ac:dyDescent="0.15">
      <c r="A2888" s="11">
        <v>3008</v>
      </c>
      <c r="B2888" s="11" t="s">
        <v>53</v>
      </c>
      <c r="C2888" s="11" t="s">
        <v>164</v>
      </c>
      <c r="D2888" s="11">
        <v>1</v>
      </c>
      <c r="E2888" s="11" t="s">
        <v>4</v>
      </c>
      <c r="F2888" s="12">
        <v>29901</v>
      </c>
      <c r="G2888" s="12">
        <v>29901</v>
      </c>
      <c r="H2888" s="11" t="str">
        <f t="shared" si="92"/>
        <v>平成6年9月14日</v>
      </c>
      <c r="I2888" s="22">
        <f t="shared" si="93"/>
        <v>34591</v>
      </c>
      <c r="J2888" s="1" t="str">
        <f>"00742413"</f>
        <v>00742413</v>
      </c>
      <c r="K2888" s="1" t="str">
        <f>"１７７１　　　　　　　　　　　　　　　　"</f>
        <v>１７７１　　　　　　　　　　　　　　　　</v>
      </c>
      <c r="L2888" s="1"/>
    </row>
    <row r="2889" spans="1:12" ht="18" customHeight="1" x14ac:dyDescent="0.15">
      <c r="A2889" s="11">
        <v>3009</v>
      </c>
      <c r="B2889" s="11" t="s">
        <v>53</v>
      </c>
      <c r="C2889" s="11" t="s">
        <v>164</v>
      </c>
      <c r="D2889" s="11">
        <v>1</v>
      </c>
      <c r="E2889" s="11" t="s">
        <v>4</v>
      </c>
      <c r="F2889" s="12">
        <v>29901</v>
      </c>
      <c r="G2889" s="12">
        <v>29901</v>
      </c>
      <c r="H2889" s="11" t="str">
        <f t="shared" si="92"/>
        <v>平成6年9月14日</v>
      </c>
      <c r="I2889" s="22">
        <f t="shared" si="93"/>
        <v>34591</v>
      </c>
      <c r="J2889" s="1" t="str">
        <f>"00742415"</f>
        <v>00742415</v>
      </c>
      <c r="K2889" s="1" t="str">
        <f>"１７７２　　　　　　　　　　　　　　　　"</f>
        <v>１７７２　　　　　　　　　　　　　　　　</v>
      </c>
      <c r="L2889" s="1"/>
    </row>
    <row r="2890" spans="1:12" ht="18" customHeight="1" x14ac:dyDescent="0.15">
      <c r="A2890" s="11">
        <v>3010</v>
      </c>
      <c r="B2890" s="11" t="s">
        <v>53</v>
      </c>
      <c r="C2890" s="11" t="s">
        <v>164</v>
      </c>
      <c r="D2890" s="11">
        <v>1</v>
      </c>
      <c r="E2890" s="11" t="s">
        <v>4</v>
      </c>
      <c r="F2890" s="12">
        <v>29901</v>
      </c>
      <c r="G2890" s="12">
        <v>29901</v>
      </c>
      <c r="H2890" s="11" t="str">
        <f t="shared" si="92"/>
        <v>平成6年9月14日</v>
      </c>
      <c r="I2890" s="22">
        <f t="shared" si="93"/>
        <v>34591</v>
      </c>
      <c r="J2890" s="1" t="str">
        <f>"00742417"</f>
        <v>00742417</v>
      </c>
      <c r="K2890" s="1" t="str">
        <f>"１７７３　　　　　　　　　　　　　　　　"</f>
        <v>１７７３　　　　　　　　　　　　　　　　</v>
      </c>
      <c r="L2890" s="1"/>
    </row>
    <row r="2891" spans="1:12" ht="18" customHeight="1" x14ac:dyDescent="0.15">
      <c r="A2891" s="11">
        <v>3011</v>
      </c>
      <c r="B2891" s="11" t="s">
        <v>53</v>
      </c>
      <c r="C2891" s="11" t="s">
        <v>164</v>
      </c>
      <c r="D2891" s="11">
        <v>1</v>
      </c>
      <c r="E2891" s="11" t="s">
        <v>4</v>
      </c>
      <c r="F2891" s="12">
        <v>29901</v>
      </c>
      <c r="G2891" s="12">
        <v>29901</v>
      </c>
      <c r="H2891" s="11" t="str">
        <f t="shared" si="92"/>
        <v>平成6年9月14日</v>
      </c>
      <c r="I2891" s="22">
        <f t="shared" si="93"/>
        <v>34591</v>
      </c>
      <c r="J2891" s="1" t="str">
        <f>"00742419"</f>
        <v>00742419</v>
      </c>
      <c r="K2891" s="1" t="str">
        <f>"１７７４　　　　　　　　　　　　　　　　"</f>
        <v>１７７４　　　　　　　　　　　　　　　　</v>
      </c>
      <c r="L2891" s="1"/>
    </row>
    <row r="2892" spans="1:12" ht="18" customHeight="1" x14ac:dyDescent="0.15">
      <c r="A2892" s="11">
        <v>3012</v>
      </c>
      <c r="B2892" s="11" t="s">
        <v>53</v>
      </c>
      <c r="C2892" s="11" t="s">
        <v>164</v>
      </c>
      <c r="D2892" s="11">
        <v>1</v>
      </c>
      <c r="E2892" s="11" t="s">
        <v>4</v>
      </c>
      <c r="F2892" s="12">
        <v>29901</v>
      </c>
      <c r="G2892" s="12">
        <v>29901</v>
      </c>
      <c r="H2892" s="11" t="str">
        <f t="shared" si="92"/>
        <v>平成6年9月14日</v>
      </c>
      <c r="I2892" s="22">
        <f t="shared" si="93"/>
        <v>34591</v>
      </c>
      <c r="J2892" s="1" t="str">
        <f>"00742420"</f>
        <v>00742420</v>
      </c>
      <c r="K2892" s="1" t="str">
        <f>"１７７５　　　　　　　　　　　　　　　　"</f>
        <v>１７７５　　　　　　　　　　　　　　　　</v>
      </c>
      <c r="L2892" s="1"/>
    </row>
    <row r="2893" spans="1:12" ht="18" customHeight="1" x14ac:dyDescent="0.15">
      <c r="A2893" s="11">
        <v>3013</v>
      </c>
      <c r="B2893" s="11" t="s">
        <v>53</v>
      </c>
      <c r="C2893" s="11" t="s">
        <v>165</v>
      </c>
      <c r="D2893" s="11">
        <v>1</v>
      </c>
      <c r="E2893" s="11" t="s">
        <v>4</v>
      </c>
      <c r="F2893" s="12">
        <v>29900</v>
      </c>
      <c r="G2893" s="12">
        <v>29900</v>
      </c>
      <c r="H2893" s="11" t="str">
        <f t="shared" si="92"/>
        <v>平成6年9月14日</v>
      </c>
      <c r="I2893" s="22">
        <f t="shared" si="93"/>
        <v>34591</v>
      </c>
      <c r="J2893" s="1" t="str">
        <f>"00742422"</f>
        <v>00742422</v>
      </c>
      <c r="K2893" s="1" t="str">
        <f>"１７７８　　　　　　　　　　　　　　　　"</f>
        <v>１７７８　　　　　　　　　　　　　　　　</v>
      </c>
      <c r="L2893" s="1"/>
    </row>
    <row r="2894" spans="1:12" ht="18" customHeight="1" x14ac:dyDescent="0.15">
      <c r="A2894" s="11">
        <v>3014</v>
      </c>
      <c r="B2894" s="11" t="s">
        <v>53</v>
      </c>
      <c r="C2894" s="11" t="s">
        <v>165</v>
      </c>
      <c r="D2894" s="11">
        <v>1</v>
      </c>
      <c r="E2894" s="11" t="s">
        <v>4</v>
      </c>
      <c r="F2894" s="12">
        <v>29900</v>
      </c>
      <c r="G2894" s="12">
        <v>29900</v>
      </c>
      <c r="H2894" s="11" t="str">
        <f t="shared" si="92"/>
        <v>平成6年9月14日</v>
      </c>
      <c r="I2894" s="22">
        <f t="shared" si="93"/>
        <v>34591</v>
      </c>
      <c r="J2894" s="1" t="str">
        <f>"00742425"</f>
        <v>00742425</v>
      </c>
      <c r="K2894" s="1" t="str">
        <f>"１７７９　　　　　　　　　　　　　　　　"</f>
        <v>１７７９　　　　　　　　　　　　　　　　</v>
      </c>
      <c r="L2894" s="1"/>
    </row>
    <row r="2895" spans="1:12" ht="18" customHeight="1" x14ac:dyDescent="0.15">
      <c r="A2895" s="11">
        <v>3015</v>
      </c>
      <c r="B2895" s="11" t="s">
        <v>53</v>
      </c>
      <c r="C2895" s="11" t="s">
        <v>165</v>
      </c>
      <c r="D2895" s="11">
        <v>1</v>
      </c>
      <c r="E2895" s="11" t="s">
        <v>4</v>
      </c>
      <c r="F2895" s="12">
        <v>29900</v>
      </c>
      <c r="G2895" s="12">
        <v>29900</v>
      </c>
      <c r="H2895" s="11" t="str">
        <f t="shared" ref="H2895:H2958" si="94">"平成6年9月14日"</f>
        <v>平成6年9月14日</v>
      </c>
      <c r="I2895" s="22">
        <f t="shared" si="93"/>
        <v>34591</v>
      </c>
      <c r="J2895" s="1" t="str">
        <f>"00742427"</f>
        <v>00742427</v>
      </c>
      <c r="K2895" s="1" t="str">
        <f>"１７８０　　　　　　　　　　　　　　　　"</f>
        <v>１７８０　　　　　　　　　　　　　　　　</v>
      </c>
      <c r="L2895" s="1"/>
    </row>
    <row r="2896" spans="1:12" ht="18" customHeight="1" x14ac:dyDescent="0.15">
      <c r="A2896" s="11">
        <v>3016</v>
      </c>
      <c r="B2896" s="11" t="s">
        <v>53</v>
      </c>
      <c r="C2896" s="11" t="s">
        <v>165</v>
      </c>
      <c r="D2896" s="11">
        <v>1</v>
      </c>
      <c r="E2896" s="11" t="s">
        <v>4</v>
      </c>
      <c r="F2896" s="12">
        <v>29900</v>
      </c>
      <c r="G2896" s="12">
        <v>29900</v>
      </c>
      <c r="H2896" s="11" t="str">
        <f t="shared" si="94"/>
        <v>平成6年9月14日</v>
      </c>
      <c r="I2896" s="22">
        <f t="shared" si="93"/>
        <v>34591</v>
      </c>
      <c r="J2896" s="1" t="str">
        <f>"00742429"</f>
        <v>00742429</v>
      </c>
      <c r="K2896" s="1" t="str">
        <f>"１７８１　　　　　　　　　　　　　　　　"</f>
        <v>１７８１　　　　　　　　　　　　　　　　</v>
      </c>
      <c r="L2896" s="1"/>
    </row>
    <row r="2897" spans="1:12" ht="18" customHeight="1" x14ac:dyDescent="0.15">
      <c r="A2897" s="11">
        <v>3017</v>
      </c>
      <c r="B2897" s="11" t="s">
        <v>53</v>
      </c>
      <c r="C2897" s="11" t="s">
        <v>165</v>
      </c>
      <c r="D2897" s="11">
        <v>1</v>
      </c>
      <c r="E2897" s="11" t="s">
        <v>4</v>
      </c>
      <c r="F2897" s="12">
        <v>29900</v>
      </c>
      <c r="G2897" s="12">
        <v>29900</v>
      </c>
      <c r="H2897" s="11" t="str">
        <f t="shared" si="94"/>
        <v>平成6年9月14日</v>
      </c>
      <c r="I2897" s="22">
        <f t="shared" si="93"/>
        <v>34591</v>
      </c>
      <c r="J2897" s="1" t="str">
        <f>"00742431"</f>
        <v>00742431</v>
      </c>
      <c r="K2897" s="1" t="str">
        <f>"１７８２　　　　　　　　　　　　　　　　"</f>
        <v>１７８２　　　　　　　　　　　　　　　　</v>
      </c>
      <c r="L2897" s="1"/>
    </row>
    <row r="2898" spans="1:12" ht="18" customHeight="1" x14ac:dyDescent="0.15">
      <c r="A2898" s="11">
        <v>3018</v>
      </c>
      <c r="B2898" s="11" t="s">
        <v>53</v>
      </c>
      <c r="C2898" s="11" t="s">
        <v>165</v>
      </c>
      <c r="D2898" s="11">
        <v>1</v>
      </c>
      <c r="E2898" s="11" t="s">
        <v>4</v>
      </c>
      <c r="F2898" s="12">
        <v>29900</v>
      </c>
      <c r="G2898" s="12">
        <v>29900</v>
      </c>
      <c r="H2898" s="11" t="str">
        <f t="shared" si="94"/>
        <v>平成6年9月14日</v>
      </c>
      <c r="I2898" s="22">
        <f t="shared" ref="I2898:I2961" si="95">DATEVALUE(H2898)</f>
        <v>34591</v>
      </c>
      <c r="J2898" s="1" t="str">
        <f>"00742433"</f>
        <v>00742433</v>
      </c>
      <c r="K2898" s="1" t="str">
        <f>"１７８３　　　　　　　　　　　　　　　　"</f>
        <v>１７８３　　　　　　　　　　　　　　　　</v>
      </c>
      <c r="L2898" s="1"/>
    </row>
    <row r="2899" spans="1:12" ht="18" customHeight="1" x14ac:dyDescent="0.15">
      <c r="A2899" s="11">
        <v>3019</v>
      </c>
      <c r="B2899" s="11" t="s">
        <v>53</v>
      </c>
      <c r="C2899" s="11" t="s">
        <v>165</v>
      </c>
      <c r="D2899" s="11">
        <v>1</v>
      </c>
      <c r="E2899" s="11" t="s">
        <v>4</v>
      </c>
      <c r="F2899" s="12">
        <v>29900</v>
      </c>
      <c r="G2899" s="12">
        <v>29900</v>
      </c>
      <c r="H2899" s="11" t="str">
        <f t="shared" si="94"/>
        <v>平成6年9月14日</v>
      </c>
      <c r="I2899" s="22">
        <f t="shared" si="95"/>
        <v>34591</v>
      </c>
      <c r="J2899" s="1" t="str">
        <f>"00742435"</f>
        <v>00742435</v>
      </c>
      <c r="K2899" s="1" t="str">
        <f>"１７８４　　　　　　　　　　　　　　　　"</f>
        <v>１７８４　　　　　　　　　　　　　　　　</v>
      </c>
      <c r="L2899" s="1"/>
    </row>
    <row r="2900" spans="1:12" ht="18" customHeight="1" x14ac:dyDescent="0.15">
      <c r="A2900" s="11">
        <v>3020</v>
      </c>
      <c r="B2900" s="11" t="s">
        <v>53</v>
      </c>
      <c r="C2900" s="11" t="s">
        <v>165</v>
      </c>
      <c r="D2900" s="11">
        <v>1</v>
      </c>
      <c r="E2900" s="11" t="s">
        <v>4</v>
      </c>
      <c r="F2900" s="12">
        <v>29900</v>
      </c>
      <c r="G2900" s="12">
        <v>29900</v>
      </c>
      <c r="H2900" s="11" t="str">
        <f t="shared" si="94"/>
        <v>平成6年9月14日</v>
      </c>
      <c r="I2900" s="22">
        <f t="shared" si="95"/>
        <v>34591</v>
      </c>
      <c r="J2900" s="1" t="str">
        <f>"00742437"</f>
        <v>00742437</v>
      </c>
      <c r="K2900" s="1" t="str">
        <f>"１７８５　　　　　　　　　　　　　　　　"</f>
        <v>１７８５　　　　　　　　　　　　　　　　</v>
      </c>
      <c r="L2900" s="1"/>
    </row>
    <row r="2901" spans="1:12" ht="18" customHeight="1" x14ac:dyDescent="0.15">
      <c r="A2901" s="11">
        <v>3021</v>
      </c>
      <c r="B2901" s="11" t="s">
        <v>53</v>
      </c>
      <c r="C2901" s="11" t="s">
        <v>165</v>
      </c>
      <c r="D2901" s="11">
        <v>1</v>
      </c>
      <c r="E2901" s="11" t="s">
        <v>4</v>
      </c>
      <c r="F2901" s="12">
        <v>29900</v>
      </c>
      <c r="G2901" s="12">
        <v>29900</v>
      </c>
      <c r="H2901" s="11" t="str">
        <f t="shared" si="94"/>
        <v>平成6年9月14日</v>
      </c>
      <c r="I2901" s="22">
        <f t="shared" si="95"/>
        <v>34591</v>
      </c>
      <c r="J2901" s="1" t="str">
        <f>"00742439"</f>
        <v>00742439</v>
      </c>
      <c r="K2901" s="1" t="str">
        <f>"１７８６　　　　　　　　　　　　　　　　"</f>
        <v>１７８６　　　　　　　　　　　　　　　　</v>
      </c>
      <c r="L2901" s="1"/>
    </row>
    <row r="2902" spans="1:12" ht="18" customHeight="1" x14ac:dyDescent="0.15">
      <c r="A2902" s="11">
        <v>3022</v>
      </c>
      <c r="B2902" s="11" t="s">
        <v>53</v>
      </c>
      <c r="C2902" s="11" t="s">
        <v>165</v>
      </c>
      <c r="D2902" s="11">
        <v>1</v>
      </c>
      <c r="E2902" s="11" t="s">
        <v>4</v>
      </c>
      <c r="F2902" s="12">
        <v>29900</v>
      </c>
      <c r="G2902" s="12">
        <v>29900</v>
      </c>
      <c r="H2902" s="11" t="str">
        <f t="shared" si="94"/>
        <v>平成6年9月14日</v>
      </c>
      <c r="I2902" s="22">
        <f t="shared" si="95"/>
        <v>34591</v>
      </c>
      <c r="J2902" s="1" t="str">
        <f>"00742441"</f>
        <v>00742441</v>
      </c>
      <c r="K2902" s="1" t="str">
        <f>"１７８７　　　　　　　　　　　　　　　　"</f>
        <v>１７８７　　　　　　　　　　　　　　　　</v>
      </c>
      <c r="L2902" s="1"/>
    </row>
    <row r="2903" spans="1:12" ht="18" customHeight="1" x14ac:dyDescent="0.15">
      <c r="A2903" s="11">
        <v>3023</v>
      </c>
      <c r="B2903" s="11" t="s">
        <v>53</v>
      </c>
      <c r="C2903" s="11" t="s">
        <v>165</v>
      </c>
      <c r="D2903" s="11">
        <v>1</v>
      </c>
      <c r="E2903" s="11" t="s">
        <v>4</v>
      </c>
      <c r="F2903" s="12">
        <v>29900</v>
      </c>
      <c r="G2903" s="12">
        <v>29900</v>
      </c>
      <c r="H2903" s="11" t="str">
        <f t="shared" si="94"/>
        <v>平成6年9月14日</v>
      </c>
      <c r="I2903" s="22">
        <f t="shared" si="95"/>
        <v>34591</v>
      </c>
      <c r="J2903" s="1" t="str">
        <f>"00742443"</f>
        <v>00742443</v>
      </c>
      <c r="K2903" s="1" t="str">
        <f>"１７８８　　　　　　　　　　　　　　　　"</f>
        <v>１７８８　　　　　　　　　　　　　　　　</v>
      </c>
      <c r="L2903" s="1"/>
    </row>
    <row r="2904" spans="1:12" ht="18" customHeight="1" x14ac:dyDescent="0.15">
      <c r="A2904" s="11">
        <v>3024</v>
      </c>
      <c r="B2904" s="11" t="s">
        <v>53</v>
      </c>
      <c r="C2904" s="11" t="s">
        <v>165</v>
      </c>
      <c r="D2904" s="11">
        <v>1</v>
      </c>
      <c r="E2904" s="11" t="s">
        <v>4</v>
      </c>
      <c r="F2904" s="12">
        <v>29900</v>
      </c>
      <c r="G2904" s="12">
        <v>29900</v>
      </c>
      <c r="H2904" s="11" t="str">
        <f t="shared" si="94"/>
        <v>平成6年9月14日</v>
      </c>
      <c r="I2904" s="22">
        <f t="shared" si="95"/>
        <v>34591</v>
      </c>
      <c r="J2904" s="1" t="str">
        <f>"00742444"</f>
        <v>00742444</v>
      </c>
      <c r="K2904" s="1" t="str">
        <f>"１７８９　　　　　　　　　　　　　　　　"</f>
        <v>１７８９　　　　　　　　　　　　　　　　</v>
      </c>
      <c r="L2904" s="1"/>
    </row>
    <row r="2905" spans="1:12" ht="18" customHeight="1" x14ac:dyDescent="0.15">
      <c r="A2905" s="11">
        <v>3025</v>
      </c>
      <c r="B2905" s="11" t="s">
        <v>53</v>
      </c>
      <c r="C2905" s="11" t="s">
        <v>165</v>
      </c>
      <c r="D2905" s="11">
        <v>1</v>
      </c>
      <c r="E2905" s="11" t="s">
        <v>4</v>
      </c>
      <c r="F2905" s="12">
        <v>29900</v>
      </c>
      <c r="G2905" s="12">
        <v>29900</v>
      </c>
      <c r="H2905" s="11" t="str">
        <f t="shared" si="94"/>
        <v>平成6年9月14日</v>
      </c>
      <c r="I2905" s="22">
        <f t="shared" si="95"/>
        <v>34591</v>
      </c>
      <c r="J2905" s="1" t="str">
        <f>"00742447"</f>
        <v>00742447</v>
      </c>
      <c r="K2905" s="1" t="str">
        <f>"１７９０　　　　　　　　　　　　　　　　"</f>
        <v>１７９０　　　　　　　　　　　　　　　　</v>
      </c>
      <c r="L2905" s="1"/>
    </row>
    <row r="2906" spans="1:12" ht="18" customHeight="1" x14ac:dyDescent="0.15">
      <c r="A2906" s="11">
        <v>3026</v>
      </c>
      <c r="B2906" s="11" t="s">
        <v>53</v>
      </c>
      <c r="C2906" s="11" t="s">
        <v>165</v>
      </c>
      <c r="D2906" s="11">
        <v>1</v>
      </c>
      <c r="E2906" s="11" t="s">
        <v>4</v>
      </c>
      <c r="F2906" s="12">
        <v>29900</v>
      </c>
      <c r="G2906" s="12">
        <v>29900</v>
      </c>
      <c r="H2906" s="11" t="str">
        <f t="shared" si="94"/>
        <v>平成6年9月14日</v>
      </c>
      <c r="I2906" s="22">
        <f t="shared" si="95"/>
        <v>34591</v>
      </c>
      <c r="J2906" s="1" t="str">
        <f>"00742448"</f>
        <v>00742448</v>
      </c>
      <c r="K2906" s="1" t="str">
        <f>"１７９１　　　　　　　　　　　　　　　　"</f>
        <v>１７９１　　　　　　　　　　　　　　　　</v>
      </c>
      <c r="L2906" s="1"/>
    </row>
    <row r="2907" spans="1:12" ht="18" customHeight="1" x14ac:dyDescent="0.15">
      <c r="A2907" s="11">
        <v>3027</v>
      </c>
      <c r="B2907" s="11" t="s">
        <v>53</v>
      </c>
      <c r="C2907" s="11" t="s">
        <v>165</v>
      </c>
      <c r="D2907" s="11">
        <v>1</v>
      </c>
      <c r="E2907" s="11" t="s">
        <v>4</v>
      </c>
      <c r="F2907" s="12">
        <v>29900</v>
      </c>
      <c r="G2907" s="12">
        <v>29900</v>
      </c>
      <c r="H2907" s="11" t="str">
        <f t="shared" si="94"/>
        <v>平成6年9月14日</v>
      </c>
      <c r="I2907" s="22">
        <f t="shared" si="95"/>
        <v>34591</v>
      </c>
      <c r="J2907" s="1" t="str">
        <f>"00742451"</f>
        <v>00742451</v>
      </c>
      <c r="K2907" s="1" t="str">
        <f>"１７９２　　　　　　　　　　　　　　　　"</f>
        <v>１７９２　　　　　　　　　　　　　　　　</v>
      </c>
      <c r="L2907" s="1"/>
    </row>
    <row r="2908" spans="1:12" ht="18" customHeight="1" x14ac:dyDescent="0.15">
      <c r="A2908" s="11">
        <v>3028</v>
      </c>
      <c r="B2908" s="11" t="s">
        <v>53</v>
      </c>
      <c r="C2908" s="11" t="s">
        <v>165</v>
      </c>
      <c r="D2908" s="11">
        <v>1</v>
      </c>
      <c r="E2908" s="11" t="s">
        <v>4</v>
      </c>
      <c r="F2908" s="12">
        <v>29900</v>
      </c>
      <c r="G2908" s="12">
        <v>29900</v>
      </c>
      <c r="H2908" s="11" t="str">
        <f t="shared" si="94"/>
        <v>平成6年9月14日</v>
      </c>
      <c r="I2908" s="22">
        <f t="shared" si="95"/>
        <v>34591</v>
      </c>
      <c r="J2908" s="1" t="str">
        <f>"00742452"</f>
        <v>00742452</v>
      </c>
      <c r="K2908" s="1" t="str">
        <f>"１７９３　　　　　　　　　　　　　　　　"</f>
        <v>１７９３　　　　　　　　　　　　　　　　</v>
      </c>
      <c r="L2908" s="1"/>
    </row>
    <row r="2909" spans="1:12" ht="18" customHeight="1" x14ac:dyDescent="0.15">
      <c r="A2909" s="11">
        <v>3029</v>
      </c>
      <c r="B2909" s="11" t="s">
        <v>53</v>
      </c>
      <c r="C2909" s="11" t="s">
        <v>165</v>
      </c>
      <c r="D2909" s="11">
        <v>1</v>
      </c>
      <c r="E2909" s="11" t="s">
        <v>4</v>
      </c>
      <c r="F2909" s="12">
        <v>29900</v>
      </c>
      <c r="G2909" s="12">
        <v>29900</v>
      </c>
      <c r="H2909" s="11" t="str">
        <f t="shared" si="94"/>
        <v>平成6年9月14日</v>
      </c>
      <c r="I2909" s="22">
        <f t="shared" si="95"/>
        <v>34591</v>
      </c>
      <c r="J2909" s="1" t="str">
        <f>"00742454"</f>
        <v>00742454</v>
      </c>
      <c r="K2909" s="1" t="str">
        <f>"１７９４　　　　　　　　　　　　　　　　"</f>
        <v>１７９４　　　　　　　　　　　　　　　　</v>
      </c>
      <c r="L2909" s="1"/>
    </row>
    <row r="2910" spans="1:12" ht="18" customHeight="1" x14ac:dyDescent="0.15">
      <c r="A2910" s="11">
        <v>3030</v>
      </c>
      <c r="B2910" s="11" t="s">
        <v>53</v>
      </c>
      <c r="C2910" s="11" t="s">
        <v>165</v>
      </c>
      <c r="D2910" s="11">
        <v>1</v>
      </c>
      <c r="E2910" s="11" t="s">
        <v>4</v>
      </c>
      <c r="F2910" s="12">
        <v>29900</v>
      </c>
      <c r="G2910" s="12">
        <v>29900</v>
      </c>
      <c r="H2910" s="11" t="str">
        <f t="shared" si="94"/>
        <v>平成6年9月14日</v>
      </c>
      <c r="I2910" s="22">
        <f t="shared" si="95"/>
        <v>34591</v>
      </c>
      <c r="J2910" s="1" t="str">
        <f>"00742457"</f>
        <v>00742457</v>
      </c>
      <c r="K2910" s="1" t="str">
        <f>"１７９５　　　　　　　　　　　　　　　　"</f>
        <v>１７９５　　　　　　　　　　　　　　　　</v>
      </c>
      <c r="L2910" s="1"/>
    </row>
    <row r="2911" spans="1:12" ht="18" customHeight="1" x14ac:dyDescent="0.15">
      <c r="A2911" s="11">
        <v>3031</v>
      </c>
      <c r="B2911" s="11" t="s">
        <v>53</v>
      </c>
      <c r="C2911" s="11" t="s">
        <v>165</v>
      </c>
      <c r="D2911" s="11">
        <v>1</v>
      </c>
      <c r="E2911" s="11" t="s">
        <v>4</v>
      </c>
      <c r="F2911" s="12">
        <v>29900</v>
      </c>
      <c r="G2911" s="12">
        <v>29900</v>
      </c>
      <c r="H2911" s="11" t="str">
        <f t="shared" si="94"/>
        <v>平成6年9月14日</v>
      </c>
      <c r="I2911" s="22">
        <f t="shared" si="95"/>
        <v>34591</v>
      </c>
      <c r="J2911" s="1" t="str">
        <f>"00742458"</f>
        <v>00742458</v>
      </c>
      <c r="K2911" s="1" t="str">
        <f>"１７９６　　　　　　　　　　　　　　　　"</f>
        <v>１７９６　　　　　　　　　　　　　　　　</v>
      </c>
      <c r="L2911" s="1"/>
    </row>
    <row r="2912" spans="1:12" ht="18" customHeight="1" x14ac:dyDescent="0.15">
      <c r="A2912" s="11">
        <v>3032</v>
      </c>
      <c r="B2912" s="11" t="s">
        <v>53</v>
      </c>
      <c r="C2912" s="11" t="s">
        <v>165</v>
      </c>
      <c r="D2912" s="11">
        <v>1</v>
      </c>
      <c r="E2912" s="11" t="s">
        <v>4</v>
      </c>
      <c r="F2912" s="12">
        <v>29900</v>
      </c>
      <c r="G2912" s="12">
        <v>29900</v>
      </c>
      <c r="H2912" s="11" t="str">
        <f t="shared" si="94"/>
        <v>平成6年9月14日</v>
      </c>
      <c r="I2912" s="22">
        <f t="shared" si="95"/>
        <v>34591</v>
      </c>
      <c r="J2912" s="1" t="str">
        <f>"00742460"</f>
        <v>00742460</v>
      </c>
      <c r="K2912" s="1" t="str">
        <f>"１７９７　　　　　　　　　　　　　　　　"</f>
        <v>１７９７　　　　　　　　　　　　　　　　</v>
      </c>
      <c r="L2912" s="1"/>
    </row>
    <row r="2913" spans="1:12" ht="18" customHeight="1" x14ac:dyDescent="0.15">
      <c r="A2913" s="11">
        <v>3033</v>
      </c>
      <c r="B2913" s="11" t="s">
        <v>53</v>
      </c>
      <c r="C2913" s="11" t="s">
        <v>165</v>
      </c>
      <c r="D2913" s="11">
        <v>1</v>
      </c>
      <c r="E2913" s="11" t="s">
        <v>4</v>
      </c>
      <c r="F2913" s="12">
        <v>29900</v>
      </c>
      <c r="G2913" s="12">
        <v>29900</v>
      </c>
      <c r="H2913" s="11" t="str">
        <f t="shared" si="94"/>
        <v>平成6年9月14日</v>
      </c>
      <c r="I2913" s="22">
        <f t="shared" si="95"/>
        <v>34591</v>
      </c>
      <c r="J2913" s="1" t="str">
        <f>"00742462"</f>
        <v>00742462</v>
      </c>
      <c r="K2913" s="1" t="str">
        <f>"１７９８　　　　　　　　　　　　　　　　"</f>
        <v>１７９８　　　　　　　　　　　　　　　　</v>
      </c>
      <c r="L2913" s="1"/>
    </row>
    <row r="2914" spans="1:12" ht="18" customHeight="1" x14ac:dyDescent="0.15">
      <c r="A2914" s="11">
        <v>3034</v>
      </c>
      <c r="B2914" s="11" t="s">
        <v>53</v>
      </c>
      <c r="C2914" s="11" t="s">
        <v>165</v>
      </c>
      <c r="D2914" s="11">
        <v>1</v>
      </c>
      <c r="E2914" s="11" t="s">
        <v>4</v>
      </c>
      <c r="F2914" s="12">
        <v>29900</v>
      </c>
      <c r="G2914" s="12">
        <v>29900</v>
      </c>
      <c r="H2914" s="11" t="str">
        <f t="shared" si="94"/>
        <v>平成6年9月14日</v>
      </c>
      <c r="I2914" s="22">
        <f t="shared" si="95"/>
        <v>34591</v>
      </c>
      <c r="J2914" s="1" t="str">
        <f>"00742465"</f>
        <v>00742465</v>
      </c>
      <c r="K2914" s="1" t="str">
        <f>"１７９９　　　　　　　　　　　　　　　　"</f>
        <v>１７９９　　　　　　　　　　　　　　　　</v>
      </c>
      <c r="L2914" s="1"/>
    </row>
    <row r="2915" spans="1:12" ht="18" customHeight="1" x14ac:dyDescent="0.15">
      <c r="A2915" s="11">
        <v>3035</v>
      </c>
      <c r="B2915" s="11" t="s">
        <v>53</v>
      </c>
      <c r="C2915" s="11" t="s">
        <v>165</v>
      </c>
      <c r="D2915" s="11">
        <v>1</v>
      </c>
      <c r="E2915" s="11" t="s">
        <v>4</v>
      </c>
      <c r="F2915" s="12">
        <v>29900</v>
      </c>
      <c r="G2915" s="12">
        <v>29900</v>
      </c>
      <c r="H2915" s="11" t="str">
        <f t="shared" si="94"/>
        <v>平成6年9月14日</v>
      </c>
      <c r="I2915" s="22">
        <f t="shared" si="95"/>
        <v>34591</v>
      </c>
      <c r="J2915" s="1" t="str">
        <f>"00742467"</f>
        <v>00742467</v>
      </c>
      <c r="K2915" s="1" t="str">
        <f>"１８００　　　　　　　　　　　　　　　　"</f>
        <v>１８００　　　　　　　　　　　　　　　　</v>
      </c>
      <c r="L2915" s="1"/>
    </row>
    <row r="2916" spans="1:12" ht="18" customHeight="1" x14ac:dyDescent="0.15">
      <c r="A2916" s="11">
        <v>3036</v>
      </c>
      <c r="B2916" s="11" t="s">
        <v>53</v>
      </c>
      <c r="C2916" s="11" t="s">
        <v>165</v>
      </c>
      <c r="D2916" s="11">
        <v>1</v>
      </c>
      <c r="E2916" s="11" t="s">
        <v>4</v>
      </c>
      <c r="F2916" s="12">
        <v>29900</v>
      </c>
      <c r="G2916" s="12">
        <v>29900</v>
      </c>
      <c r="H2916" s="11" t="str">
        <f t="shared" si="94"/>
        <v>平成6年9月14日</v>
      </c>
      <c r="I2916" s="22">
        <f t="shared" si="95"/>
        <v>34591</v>
      </c>
      <c r="J2916" s="1" t="str">
        <f>"00742469"</f>
        <v>00742469</v>
      </c>
      <c r="K2916" s="1" t="str">
        <f>"１８０１　　　　　　　　　　　　　　　　"</f>
        <v>１８０１　　　　　　　　　　　　　　　　</v>
      </c>
      <c r="L2916" s="1"/>
    </row>
    <row r="2917" spans="1:12" ht="18" customHeight="1" x14ac:dyDescent="0.15">
      <c r="A2917" s="11">
        <v>3037</v>
      </c>
      <c r="B2917" s="11" t="s">
        <v>53</v>
      </c>
      <c r="C2917" s="11" t="s">
        <v>165</v>
      </c>
      <c r="D2917" s="11">
        <v>1</v>
      </c>
      <c r="E2917" s="11" t="s">
        <v>4</v>
      </c>
      <c r="F2917" s="12">
        <v>29900</v>
      </c>
      <c r="G2917" s="12">
        <v>29900</v>
      </c>
      <c r="H2917" s="11" t="str">
        <f t="shared" si="94"/>
        <v>平成6年9月14日</v>
      </c>
      <c r="I2917" s="22">
        <f t="shared" si="95"/>
        <v>34591</v>
      </c>
      <c r="J2917" s="1" t="str">
        <f>"00742471"</f>
        <v>00742471</v>
      </c>
      <c r="K2917" s="1" t="str">
        <f>"１８０２　　　　　　　　　　　　　　　　"</f>
        <v>１８０２　　　　　　　　　　　　　　　　</v>
      </c>
      <c r="L2917" s="1"/>
    </row>
    <row r="2918" spans="1:12" ht="18" customHeight="1" x14ac:dyDescent="0.15">
      <c r="A2918" s="11">
        <v>3038</v>
      </c>
      <c r="B2918" s="11" t="s">
        <v>53</v>
      </c>
      <c r="C2918" s="11" t="s">
        <v>165</v>
      </c>
      <c r="D2918" s="11">
        <v>1</v>
      </c>
      <c r="E2918" s="11" t="s">
        <v>4</v>
      </c>
      <c r="F2918" s="12">
        <v>29900</v>
      </c>
      <c r="G2918" s="12">
        <v>29900</v>
      </c>
      <c r="H2918" s="11" t="str">
        <f t="shared" si="94"/>
        <v>平成6年9月14日</v>
      </c>
      <c r="I2918" s="22">
        <f t="shared" si="95"/>
        <v>34591</v>
      </c>
      <c r="J2918" s="1" t="str">
        <f>"00742473"</f>
        <v>00742473</v>
      </c>
      <c r="K2918" s="1" t="str">
        <f>"１８０３　　　　　　　　　　　　　　　　"</f>
        <v>１８０３　　　　　　　　　　　　　　　　</v>
      </c>
      <c r="L2918" s="1"/>
    </row>
    <row r="2919" spans="1:12" ht="18" customHeight="1" x14ac:dyDescent="0.15">
      <c r="A2919" s="11">
        <v>3039</v>
      </c>
      <c r="B2919" s="11" t="s">
        <v>53</v>
      </c>
      <c r="C2919" s="11" t="s">
        <v>165</v>
      </c>
      <c r="D2919" s="11">
        <v>1</v>
      </c>
      <c r="E2919" s="11" t="s">
        <v>4</v>
      </c>
      <c r="F2919" s="12">
        <v>29900</v>
      </c>
      <c r="G2919" s="12">
        <v>29900</v>
      </c>
      <c r="H2919" s="11" t="str">
        <f t="shared" si="94"/>
        <v>平成6年9月14日</v>
      </c>
      <c r="I2919" s="22">
        <f t="shared" si="95"/>
        <v>34591</v>
      </c>
      <c r="J2919" s="1" t="str">
        <f>"00742475"</f>
        <v>00742475</v>
      </c>
      <c r="K2919" s="1" t="str">
        <f>"１８０４　　　　　　　　　　　　　　　　"</f>
        <v>１８０４　　　　　　　　　　　　　　　　</v>
      </c>
      <c r="L2919" s="1"/>
    </row>
    <row r="2920" spans="1:12" ht="18" customHeight="1" x14ac:dyDescent="0.15">
      <c r="A2920" s="11">
        <v>3040</v>
      </c>
      <c r="B2920" s="11" t="s">
        <v>53</v>
      </c>
      <c r="C2920" s="11" t="s">
        <v>165</v>
      </c>
      <c r="D2920" s="11">
        <v>1</v>
      </c>
      <c r="E2920" s="11" t="s">
        <v>4</v>
      </c>
      <c r="F2920" s="12">
        <v>29900</v>
      </c>
      <c r="G2920" s="12">
        <v>29900</v>
      </c>
      <c r="H2920" s="11" t="str">
        <f t="shared" si="94"/>
        <v>平成6年9月14日</v>
      </c>
      <c r="I2920" s="22">
        <f t="shared" si="95"/>
        <v>34591</v>
      </c>
      <c r="J2920" s="1" t="str">
        <f>"00742476"</f>
        <v>00742476</v>
      </c>
      <c r="K2920" s="1" t="str">
        <f>"１８０５　　　　　　　　　　　　　　　　"</f>
        <v>１８０５　　　　　　　　　　　　　　　　</v>
      </c>
      <c r="L2920" s="1"/>
    </row>
    <row r="2921" spans="1:12" ht="18" customHeight="1" x14ac:dyDescent="0.15">
      <c r="A2921" s="11">
        <v>3041</v>
      </c>
      <c r="B2921" s="11" t="s">
        <v>53</v>
      </c>
      <c r="C2921" s="11" t="s">
        <v>165</v>
      </c>
      <c r="D2921" s="11">
        <v>1</v>
      </c>
      <c r="E2921" s="11" t="s">
        <v>4</v>
      </c>
      <c r="F2921" s="12">
        <v>29900</v>
      </c>
      <c r="G2921" s="12">
        <v>29900</v>
      </c>
      <c r="H2921" s="11" t="str">
        <f t="shared" si="94"/>
        <v>平成6年9月14日</v>
      </c>
      <c r="I2921" s="22">
        <f t="shared" si="95"/>
        <v>34591</v>
      </c>
      <c r="J2921" s="1" t="str">
        <f>"00742479"</f>
        <v>00742479</v>
      </c>
      <c r="K2921" s="1" t="str">
        <f>"１８０６　　　　　　　　　　　　　　　　"</f>
        <v>１８０６　　　　　　　　　　　　　　　　</v>
      </c>
      <c r="L2921" s="1"/>
    </row>
    <row r="2922" spans="1:12" ht="18" customHeight="1" x14ac:dyDescent="0.15">
      <c r="A2922" s="11">
        <v>3042</v>
      </c>
      <c r="B2922" s="11" t="s">
        <v>53</v>
      </c>
      <c r="C2922" s="11" t="s">
        <v>165</v>
      </c>
      <c r="D2922" s="11">
        <v>1</v>
      </c>
      <c r="E2922" s="11" t="s">
        <v>4</v>
      </c>
      <c r="F2922" s="12">
        <v>29900</v>
      </c>
      <c r="G2922" s="12">
        <v>29900</v>
      </c>
      <c r="H2922" s="11" t="str">
        <f t="shared" si="94"/>
        <v>平成6年9月14日</v>
      </c>
      <c r="I2922" s="22">
        <f t="shared" si="95"/>
        <v>34591</v>
      </c>
      <c r="J2922" s="1" t="str">
        <f>"00742481"</f>
        <v>00742481</v>
      </c>
      <c r="K2922" s="1" t="str">
        <f>"１８０７　　　　　　　　　　　　　　　　"</f>
        <v>１８０７　　　　　　　　　　　　　　　　</v>
      </c>
      <c r="L2922" s="1"/>
    </row>
    <row r="2923" spans="1:12" ht="18" customHeight="1" x14ac:dyDescent="0.15">
      <c r="A2923" s="11">
        <v>3043</v>
      </c>
      <c r="B2923" s="11" t="s">
        <v>53</v>
      </c>
      <c r="C2923" s="11" t="s">
        <v>165</v>
      </c>
      <c r="D2923" s="11">
        <v>1</v>
      </c>
      <c r="E2923" s="11" t="s">
        <v>4</v>
      </c>
      <c r="F2923" s="12">
        <v>29900</v>
      </c>
      <c r="G2923" s="12">
        <v>29900</v>
      </c>
      <c r="H2923" s="11" t="str">
        <f t="shared" si="94"/>
        <v>平成6年9月14日</v>
      </c>
      <c r="I2923" s="22">
        <f t="shared" si="95"/>
        <v>34591</v>
      </c>
      <c r="J2923" s="1" t="str">
        <f>"00742483"</f>
        <v>00742483</v>
      </c>
      <c r="K2923" s="1" t="str">
        <f>"１８０８　　　　　　　　　　　　　　　　"</f>
        <v>１８０８　　　　　　　　　　　　　　　　</v>
      </c>
      <c r="L2923" s="1"/>
    </row>
    <row r="2924" spans="1:12" ht="18" customHeight="1" x14ac:dyDescent="0.15">
      <c r="A2924" s="11">
        <v>3044</v>
      </c>
      <c r="B2924" s="11" t="s">
        <v>53</v>
      </c>
      <c r="C2924" s="11" t="s">
        <v>165</v>
      </c>
      <c r="D2924" s="11">
        <v>1</v>
      </c>
      <c r="E2924" s="11" t="s">
        <v>4</v>
      </c>
      <c r="F2924" s="12">
        <v>29900</v>
      </c>
      <c r="G2924" s="12">
        <v>29900</v>
      </c>
      <c r="H2924" s="11" t="str">
        <f t="shared" si="94"/>
        <v>平成6年9月14日</v>
      </c>
      <c r="I2924" s="22">
        <f t="shared" si="95"/>
        <v>34591</v>
      </c>
      <c r="J2924" s="1" t="str">
        <f>"00742485"</f>
        <v>00742485</v>
      </c>
      <c r="K2924" s="1" t="str">
        <f>"１８０９　　　　　　　　　　　　　　　　"</f>
        <v>１８０９　　　　　　　　　　　　　　　　</v>
      </c>
      <c r="L2924" s="1"/>
    </row>
    <row r="2925" spans="1:12" ht="18" customHeight="1" x14ac:dyDescent="0.15">
      <c r="A2925" s="11">
        <v>3045</v>
      </c>
      <c r="B2925" s="11" t="s">
        <v>53</v>
      </c>
      <c r="C2925" s="11" t="s">
        <v>165</v>
      </c>
      <c r="D2925" s="11">
        <v>1</v>
      </c>
      <c r="E2925" s="11" t="s">
        <v>4</v>
      </c>
      <c r="F2925" s="12">
        <v>29900</v>
      </c>
      <c r="G2925" s="12">
        <v>29900</v>
      </c>
      <c r="H2925" s="11" t="str">
        <f t="shared" si="94"/>
        <v>平成6年9月14日</v>
      </c>
      <c r="I2925" s="22">
        <f t="shared" si="95"/>
        <v>34591</v>
      </c>
      <c r="J2925" s="1" t="str">
        <f>"00742487"</f>
        <v>00742487</v>
      </c>
      <c r="K2925" s="1" t="str">
        <f>"１８１０　　　　　　　　　　　　　　　　"</f>
        <v>１８１０　　　　　　　　　　　　　　　　</v>
      </c>
      <c r="L2925" s="1"/>
    </row>
    <row r="2926" spans="1:12" ht="18" customHeight="1" x14ac:dyDescent="0.15">
      <c r="A2926" s="11">
        <v>3046</v>
      </c>
      <c r="B2926" s="11" t="s">
        <v>53</v>
      </c>
      <c r="C2926" s="11" t="s">
        <v>165</v>
      </c>
      <c r="D2926" s="11">
        <v>1</v>
      </c>
      <c r="E2926" s="11" t="s">
        <v>4</v>
      </c>
      <c r="F2926" s="12">
        <v>29900</v>
      </c>
      <c r="G2926" s="12">
        <v>29900</v>
      </c>
      <c r="H2926" s="11" t="str">
        <f t="shared" si="94"/>
        <v>平成6年9月14日</v>
      </c>
      <c r="I2926" s="22">
        <f t="shared" si="95"/>
        <v>34591</v>
      </c>
      <c r="J2926" s="1" t="str">
        <f>"00742489"</f>
        <v>00742489</v>
      </c>
      <c r="K2926" s="1" t="str">
        <f>"１８１１　　　　　　　　　　　　　　　　"</f>
        <v>１８１１　　　　　　　　　　　　　　　　</v>
      </c>
      <c r="L2926" s="1"/>
    </row>
    <row r="2927" spans="1:12" ht="18" customHeight="1" x14ac:dyDescent="0.15">
      <c r="A2927" s="11">
        <v>3047</v>
      </c>
      <c r="B2927" s="11" t="s">
        <v>53</v>
      </c>
      <c r="C2927" s="11" t="s">
        <v>165</v>
      </c>
      <c r="D2927" s="11">
        <v>1</v>
      </c>
      <c r="E2927" s="11" t="s">
        <v>4</v>
      </c>
      <c r="F2927" s="12">
        <v>29900</v>
      </c>
      <c r="G2927" s="12">
        <v>29900</v>
      </c>
      <c r="H2927" s="11" t="str">
        <f t="shared" si="94"/>
        <v>平成6年9月14日</v>
      </c>
      <c r="I2927" s="22">
        <f t="shared" si="95"/>
        <v>34591</v>
      </c>
      <c r="J2927" s="1" t="str">
        <f>"00742491"</f>
        <v>00742491</v>
      </c>
      <c r="K2927" s="1" t="str">
        <f>"１８１２　　　　　　　　　　　　　　　　"</f>
        <v>１８１２　　　　　　　　　　　　　　　　</v>
      </c>
      <c r="L2927" s="1"/>
    </row>
    <row r="2928" spans="1:12" ht="18" customHeight="1" x14ac:dyDescent="0.15">
      <c r="A2928" s="11">
        <v>3048</v>
      </c>
      <c r="B2928" s="11" t="s">
        <v>53</v>
      </c>
      <c r="C2928" s="11" t="s">
        <v>165</v>
      </c>
      <c r="D2928" s="11">
        <v>1</v>
      </c>
      <c r="E2928" s="11" t="s">
        <v>4</v>
      </c>
      <c r="F2928" s="12">
        <v>29900</v>
      </c>
      <c r="G2928" s="12">
        <v>29900</v>
      </c>
      <c r="H2928" s="11" t="str">
        <f t="shared" si="94"/>
        <v>平成6年9月14日</v>
      </c>
      <c r="I2928" s="22">
        <f t="shared" si="95"/>
        <v>34591</v>
      </c>
      <c r="J2928" s="1" t="str">
        <f>"00742493"</f>
        <v>00742493</v>
      </c>
      <c r="K2928" s="1" t="str">
        <f>"１８１３　　　　　　　　　　　　　　　　"</f>
        <v>１８１３　　　　　　　　　　　　　　　　</v>
      </c>
      <c r="L2928" s="1"/>
    </row>
    <row r="2929" spans="1:12" ht="18" customHeight="1" x14ac:dyDescent="0.15">
      <c r="A2929" s="11">
        <v>3049</v>
      </c>
      <c r="B2929" s="11" t="s">
        <v>53</v>
      </c>
      <c r="C2929" s="11" t="s">
        <v>165</v>
      </c>
      <c r="D2929" s="11">
        <v>1</v>
      </c>
      <c r="E2929" s="11" t="s">
        <v>4</v>
      </c>
      <c r="F2929" s="12">
        <v>29900</v>
      </c>
      <c r="G2929" s="12">
        <v>29900</v>
      </c>
      <c r="H2929" s="11" t="str">
        <f t="shared" si="94"/>
        <v>平成6年9月14日</v>
      </c>
      <c r="I2929" s="22">
        <f t="shared" si="95"/>
        <v>34591</v>
      </c>
      <c r="J2929" s="1" t="str">
        <f>"00742495"</f>
        <v>00742495</v>
      </c>
      <c r="K2929" s="1" t="str">
        <f>"１８１４　　　　　　　　　　　　　　　　"</f>
        <v>１８１４　　　　　　　　　　　　　　　　</v>
      </c>
      <c r="L2929" s="1"/>
    </row>
    <row r="2930" spans="1:12" ht="18" customHeight="1" x14ac:dyDescent="0.15">
      <c r="A2930" s="11">
        <v>3050</v>
      </c>
      <c r="B2930" s="11" t="s">
        <v>53</v>
      </c>
      <c r="C2930" s="11" t="s">
        <v>165</v>
      </c>
      <c r="D2930" s="11">
        <v>1</v>
      </c>
      <c r="E2930" s="11" t="s">
        <v>4</v>
      </c>
      <c r="F2930" s="12">
        <v>29900</v>
      </c>
      <c r="G2930" s="12">
        <v>29900</v>
      </c>
      <c r="H2930" s="11" t="str">
        <f t="shared" si="94"/>
        <v>平成6年9月14日</v>
      </c>
      <c r="I2930" s="22">
        <f t="shared" si="95"/>
        <v>34591</v>
      </c>
      <c r="J2930" s="1" t="str">
        <f>"00742497"</f>
        <v>00742497</v>
      </c>
      <c r="K2930" s="1" t="str">
        <f>"１８１５　　　　　　　　　　　　　　　　"</f>
        <v>１８１５　　　　　　　　　　　　　　　　</v>
      </c>
      <c r="L2930" s="1"/>
    </row>
    <row r="2931" spans="1:12" ht="18" customHeight="1" x14ac:dyDescent="0.15">
      <c r="A2931" s="11">
        <v>3051</v>
      </c>
      <c r="B2931" s="11" t="s">
        <v>53</v>
      </c>
      <c r="C2931" s="11" t="s">
        <v>165</v>
      </c>
      <c r="D2931" s="11">
        <v>1</v>
      </c>
      <c r="E2931" s="11" t="s">
        <v>4</v>
      </c>
      <c r="F2931" s="12">
        <v>29900</v>
      </c>
      <c r="G2931" s="12">
        <v>29900</v>
      </c>
      <c r="H2931" s="11" t="str">
        <f t="shared" si="94"/>
        <v>平成6年9月14日</v>
      </c>
      <c r="I2931" s="22">
        <f t="shared" si="95"/>
        <v>34591</v>
      </c>
      <c r="J2931" s="1" t="str">
        <f>"00742499"</f>
        <v>00742499</v>
      </c>
      <c r="K2931" s="1" t="str">
        <f>"１８１６　　　　　　　　　　　　　　　　"</f>
        <v>１８１６　　　　　　　　　　　　　　　　</v>
      </c>
      <c r="L2931" s="1"/>
    </row>
    <row r="2932" spans="1:12" ht="18" customHeight="1" x14ac:dyDescent="0.15">
      <c r="A2932" s="11">
        <v>3052</v>
      </c>
      <c r="B2932" s="11" t="s">
        <v>53</v>
      </c>
      <c r="C2932" s="11" t="s">
        <v>165</v>
      </c>
      <c r="D2932" s="11">
        <v>1</v>
      </c>
      <c r="E2932" s="11" t="s">
        <v>4</v>
      </c>
      <c r="F2932" s="12">
        <v>29900</v>
      </c>
      <c r="G2932" s="12">
        <v>29900</v>
      </c>
      <c r="H2932" s="11" t="str">
        <f t="shared" si="94"/>
        <v>平成6年9月14日</v>
      </c>
      <c r="I2932" s="22">
        <f t="shared" si="95"/>
        <v>34591</v>
      </c>
      <c r="J2932" s="1" t="str">
        <f>"00742501"</f>
        <v>00742501</v>
      </c>
      <c r="K2932" s="1" t="str">
        <f>"１８１７　　　　　　　　　　　　　　　　"</f>
        <v>１８１７　　　　　　　　　　　　　　　　</v>
      </c>
      <c r="L2932" s="1"/>
    </row>
    <row r="2933" spans="1:12" ht="18" customHeight="1" x14ac:dyDescent="0.15">
      <c r="A2933" s="11">
        <v>3053</v>
      </c>
      <c r="B2933" s="11" t="s">
        <v>53</v>
      </c>
      <c r="C2933" s="11" t="s">
        <v>165</v>
      </c>
      <c r="D2933" s="11">
        <v>1</v>
      </c>
      <c r="E2933" s="11" t="s">
        <v>4</v>
      </c>
      <c r="F2933" s="12">
        <v>29900</v>
      </c>
      <c r="G2933" s="12">
        <v>29900</v>
      </c>
      <c r="H2933" s="11" t="str">
        <f t="shared" si="94"/>
        <v>平成6年9月14日</v>
      </c>
      <c r="I2933" s="22">
        <f t="shared" si="95"/>
        <v>34591</v>
      </c>
      <c r="J2933" s="1" t="str">
        <f>"00742503"</f>
        <v>00742503</v>
      </c>
      <c r="K2933" s="1" t="str">
        <f>"１８１８　　　　　　　　　　　　　　　　"</f>
        <v>１８１８　　　　　　　　　　　　　　　　</v>
      </c>
      <c r="L2933" s="1"/>
    </row>
    <row r="2934" spans="1:12" ht="18" customHeight="1" x14ac:dyDescent="0.15">
      <c r="A2934" s="11">
        <v>3054</v>
      </c>
      <c r="B2934" s="11" t="s">
        <v>53</v>
      </c>
      <c r="C2934" s="11" t="s">
        <v>165</v>
      </c>
      <c r="D2934" s="11">
        <v>1</v>
      </c>
      <c r="E2934" s="11" t="s">
        <v>4</v>
      </c>
      <c r="F2934" s="12">
        <v>29900</v>
      </c>
      <c r="G2934" s="12">
        <v>29900</v>
      </c>
      <c r="H2934" s="11" t="str">
        <f t="shared" si="94"/>
        <v>平成6年9月14日</v>
      </c>
      <c r="I2934" s="22">
        <f t="shared" si="95"/>
        <v>34591</v>
      </c>
      <c r="J2934" s="1" t="str">
        <f>"00742505"</f>
        <v>00742505</v>
      </c>
      <c r="K2934" s="1" t="str">
        <f>"１８１９　　　　　　　　　　　　　　　　"</f>
        <v>１８１９　　　　　　　　　　　　　　　　</v>
      </c>
      <c r="L2934" s="1"/>
    </row>
    <row r="2935" spans="1:12" ht="18" customHeight="1" x14ac:dyDescent="0.15">
      <c r="A2935" s="11">
        <v>3055</v>
      </c>
      <c r="B2935" s="11" t="s">
        <v>53</v>
      </c>
      <c r="C2935" s="11" t="s">
        <v>165</v>
      </c>
      <c r="D2935" s="11">
        <v>1</v>
      </c>
      <c r="E2935" s="11" t="s">
        <v>4</v>
      </c>
      <c r="F2935" s="12">
        <v>29900</v>
      </c>
      <c r="G2935" s="12">
        <v>29900</v>
      </c>
      <c r="H2935" s="11" t="str">
        <f t="shared" si="94"/>
        <v>平成6年9月14日</v>
      </c>
      <c r="I2935" s="22">
        <f t="shared" si="95"/>
        <v>34591</v>
      </c>
      <c r="J2935" s="1" t="str">
        <f>"00742507"</f>
        <v>00742507</v>
      </c>
      <c r="K2935" s="1" t="str">
        <f>"１８２０　　　　　　　　　　　　　　　　"</f>
        <v>１８２０　　　　　　　　　　　　　　　　</v>
      </c>
      <c r="L2935" s="1"/>
    </row>
    <row r="2936" spans="1:12" ht="18" customHeight="1" x14ac:dyDescent="0.15">
      <c r="A2936" s="11">
        <v>3056</v>
      </c>
      <c r="B2936" s="11" t="s">
        <v>53</v>
      </c>
      <c r="C2936" s="11" t="s">
        <v>165</v>
      </c>
      <c r="D2936" s="11">
        <v>1</v>
      </c>
      <c r="E2936" s="11" t="s">
        <v>4</v>
      </c>
      <c r="F2936" s="12">
        <v>29900</v>
      </c>
      <c r="G2936" s="12">
        <v>29900</v>
      </c>
      <c r="H2936" s="11" t="str">
        <f t="shared" si="94"/>
        <v>平成6年9月14日</v>
      </c>
      <c r="I2936" s="22">
        <f t="shared" si="95"/>
        <v>34591</v>
      </c>
      <c r="J2936" s="1" t="str">
        <f>"00742509"</f>
        <v>00742509</v>
      </c>
      <c r="K2936" s="1" t="str">
        <f>"１８２１　　　　　　　　　　　　　　　　"</f>
        <v>１８２１　　　　　　　　　　　　　　　　</v>
      </c>
      <c r="L2936" s="1"/>
    </row>
    <row r="2937" spans="1:12" ht="18" customHeight="1" x14ac:dyDescent="0.15">
      <c r="A2937" s="11">
        <v>3057</v>
      </c>
      <c r="B2937" s="11" t="s">
        <v>53</v>
      </c>
      <c r="C2937" s="11" t="s">
        <v>165</v>
      </c>
      <c r="D2937" s="11">
        <v>1</v>
      </c>
      <c r="E2937" s="11" t="s">
        <v>4</v>
      </c>
      <c r="F2937" s="12">
        <v>29900</v>
      </c>
      <c r="G2937" s="12">
        <v>29900</v>
      </c>
      <c r="H2937" s="11" t="str">
        <f t="shared" si="94"/>
        <v>平成6年9月14日</v>
      </c>
      <c r="I2937" s="22">
        <f t="shared" si="95"/>
        <v>34591</v>
      </c>
      <c r="J2937" s="1" t="str">
        <f>"00742511"</f>
        <v>00742511</v>
      </c>
      <c r="K2937" s="1" t="str">
        <f>"１８２２　　　　　　　　　　　　　　　　"</f>
        <v>１８２２　　　　　　　　　　　　　　　　</v>
      </c>
      <c r="L2937" s="1"/>
    </row>
    <row r="2938" spans="1:12" ht="18" customHeight="1" x14ac:dyDescent="0.15">
      <c r="A2938" s="11">
        <v>3058</v>
      </c>
      <c r="B2938" s="11" t="s">
        <v>53</v>
      </c>
      <c r="C2938" s="11" t="s">
        <v>165</v>
      </c>
      <c r="D2938" s="11">
        <v>1</v>
      </c>
      <c r="E2938" s="11" t="s">
        <v>4</v>
      </c>
      <c r="F2938" s="12">
        <v>29900</v>
      </c>
      <c r="G2938" s="12">
        <v>29900</v>
      </c>
      <c r="H2938" s="11" t="str">
        <f t="shared" si="94"/>
        <v>平成6年9月14日</v>
      </c>
      <c r="I2938" s="22">
        <f t="shared" si="95"/>
        <v>34591</v>
      </c>
      <c r="J2938" s="1" t="str">
        <f>"00742513"</f>
        <v>00742513</v>
      </c>
      <c r="K2938" s="1" t="str">
        <f>"１８２３　　　　　　　　　　　　　　　　"</f>
        <v>１８２３　　　　　　　　　　　　　　　　</v>
      </c>
      <c r="L2938" s="1"/>
    </row>
    <row r="2939" spans="1:12" ht="18" customHeight="1" x14ac:dyDescent="0.15">
      <c r="A2939" s="11">
        <v>3059</v>
      </c>
      <c r="B2939" s="11" t="s">
        <v>53</v>
      </c>
      <c r="C2939" s="11" t="s">
        <v>165</v>
      </c>
      <c r="D2939" s="11">
        <v>1</v>
      </c>
      <c r="E2939" s="11" t="s">
        <v>4</v>
      </c>
      <c r="F2939" s="12">
        <v>29900</v>
      </c>
      <c r="G2939" s="12">
        <v>29900</v>
      </c>
      <c r="H2939" s="11" t="str">
        <f t="shared" si="94"/>
        <v>平成6年9月14日</v>
      </c>
      <c r="I2939" s="22">
        <f t="shared" si="95"/>
        <v>34591</v>
      </c>
      <c r="J2939" s="1" t="str">
        <f>"00742515"</f>
        <v>00742515</v>
      </c>
      <c r="K2939" s="1" t="str">
        <f>"１８２４　　　　　　　　　　　　　　　　"</f>
        <v>１８２４　　　　　　　　　　　　　　　　</v>
      </c>
      <c r="L2939" s="1"/>
    </row>
    <row r="2940" spans="1:12" ht="18" customHeight="1" x14ac:dyDescent="0.15">
      <c r="A2940" s="11">
        <v>3060</v>
      </c>
      <c r="B2940" s="11" t="s">
        <v>53</v>
      </c>
      <c r="C2940" s="11" t="s">
        <v>165</v>
      </c>
      <c r="D2940" s="11">
        <v>1</v>
      </c>
      <c r="E2940" s="11" t="s">
        <v>4</v>
      </c>
      <c r="F2940" s="12">
        <v>29900</v>
      </c>
      <c r="G2940" s="12">
        <v>29900</v>
      </c>
      <c r="H2940" s="11" t="str">
        <f t="shared" si="94"/>
        <v>平成6年9月14日</v>
      </c>
      <c r="I2940" s="22">
        <f t="shared" si="95"/>
        <v>34591</v>
      </c>
      <c r="J2940" s="1" t="str">
        <f>"00742517"</f>
        <v>00742517</v>
      </c>
      <c r="K2940" s="1" t="str">
        <f>"１８２５　　　　　　　　　　　　　　　　"</f>
        <v>１８２５　　　　　　　　　　　　　　　　</v>
      </c>
      <c r="L2940" s="1"/>
    </row>
    <row r="2941" spans="1:12" ht="18" customHeight="1" x14ac:dyDescent="0.15">
      <c r="A2941" s="11">
        <v>3061</v>
      </c>
      <c r="B2941" s="11" t="s">
        <v>53</v>
      </c>
      <c r="C2941" s="11" t="s">
        <v>165</v>
      </c>
      <c r="D2941" s="11">
        <v>1</v>
      </c>
      <c r="E2941" s="11" t="s">
        <v>4</v>
      </c>
      <c r="F2941" s="12">
        <v>29900</v>
      </c>
      <c r="G2941" s="12">
        <v>29900</v>
      </c>
      <c r="H2941" s="11" t="str">
        <f t="shared" si="94"/>
        <v>平成6年9月14日</v>
      </c>
      <c r="I2941" s="22">
        <f t="shared" si="95"/>
        <v>34591</v>
      </c>
      <c r="J2941" s="1" t="str">
        <f>"00742519"</f>
        <v>00742519</v>
      </c>
      <c r="K2941" s="1" t="str">
        <f>"１８２６　　　　　　　　　　　　　　　　"</f>
        <v>１８２６　　　　　　　　　　　　　　　　</v>
      </c>
      <c r="L2941" s="1"/>
    </row>
    <row r="2942" spans="1:12" ht="18" customHeight="1" x14ac:dyDescent="0.15">
      <c r="A2942" s="11">
        <v>3062</v>
      </c>
      <c r="B2942" s="11" t="s">
        <v>53</v>
      </c>
      <c r="C2942" s="11" t="s">
        <v>165</v>
      </c>
      <c r="D2942" s="11">
        <v>1</v>
      </c>
      <c r="E2942" s="11" t="s">
        <v>4</v>
      </c>
      <c r="F2942" s="12">
        <v>29900</v>
      </c>
      <c r="G2942" s="12">
        <v>29900</v>
      </c>
      <c r="H2942" s="11" t="str">
        <f t="shared" si="94"/>
        <v>平成6年9月14日</v>
      </c>
      <c r="I2942" s="22">
        <f t="shared" si="95"/>
        <v>34591</v>
      </c>
      <c r="J2942" s="1" t="str">
        <f>"00742521"</f>
        <v>00742521</v>
      </c>
      <c r="K2942" s="1" t="str">
        <f>"１８２７　　　　　　　　　　　　　　　　"</f>
        <v>１８２７　　　　　　　　　　　　　　　　</v>
      </c>
      <c r="L2942" s="1"/>
    </row>
    <row r="2943" spans="1:12" ht="18" customHeight="1" x14ac:dyDescent="0.15">
      <c r="A2943" s="11">
        <v>3063</v>
      </c>
      <c r="B2943" s="11" t="s">
        <v>53</v>
      </c>
      <c r="C2943" s="11" t="s">
        <v>165</v>
      </c>
      <c r="D2943" s="11">
        <v>1</v>
      </c>
      <c r="E2943" s="11" t="s">
        <v>4</v>
      </c>
      <c r="F2943" s="12">
        <v>29900</v>
      </c>
      <c r="G2943" s="12">
        <v>29900</v>
      </c>
      <c r="H2943" s="11" t="str">
        <f t="shared" si="94"/>
        <v>平成6年9月14日</v>
      </c>
      <c r="I2943" s="22">
        <f t="shared" si="95"/>
        <v>34591</v>
      </c>
      <c r="J2943" s="1" t="str">
        <f>"00742523"</f>
        <v>00742523</v>
      </c>
      <c r="K2943" s="1" t="str">
        <f>"１８２８　　　　　　　　　　　　　　　　"</f>
        <v>１８２８　　　　　　　　　　　　　　　　</v>
      </c>
      <c r="L2943" s="1"/>
    </row>
    <row r="2944" spans="1:12" ht="18" customHeight="1" x14ac:dyDescent="0.15">
      <c r="A2944" s="11">
        <v>3064</v>
      </c>
      <c r="B2944" s="11" t="s">
        <v>53</v>
      </c>
      <c r="C2944" s="11" t="s">
        <v>165</v>
      </c>
      <c r="D2944" s="11">
        <v>1</v>
      </c>
      <c r="E2944" s="11" t="s">
        <v>4</v>
      </c>
      <c r="F2944" s="12">
        <v>29900</v>
      </c>
      <c r="G2944" s="12">
        <v>29900</v>
      </c>
      <c r="H2944" s="11" t="str">
        <f t="shared" si="94"/>
        <v>平成6年9月14日</v>
      </c>
      <c r="I2944" s="22">
        <f t="shared" si="95"/>
        <v>34591</v>
      </c>
      <c r="J2944" s="1" t="str">
        <f>"00742525"</f>
        <v>00742525</v>
      </c>
      <c r="K2944" s="1" t="str">
        <f>"１８２９　　　　　　　　　　　　　　　　"</f>
        <v>１８２９　　　　　　　　　　　　　　　　</v>
      </c>
      <c r="L2944" s="1"/>
    </row>
    <row r="2945" spans="1:12" ht="18" customHeight="1" x14ac:dyDescent="0.15">
      <c r="A2945" s="11">
        <v>3065</v>
      </c>
      <c r="B2945" s="11" t="s">
        <v>53</v>
      </c>
      <c r="C2945" s="11" t="s">
        <v>165</v>
      </c>
      <c r="D2945" s="11">
        <v>1</v>
      </c>
      <c r="E2945" s="11" t="s">
        <v>4</v>
      </c>
      <c r="F2945" s="12">
        <v>29900</v>
      </c>
      <c r="G2945" s="12">
        <v>29900</v>
      </c>
      <c r="H2945" s="11" t="str">
        <f t="shared" si="94"/>
        <v>平成6年9月14日</v>
      </c>
      <c r="I2945" s="22">
        <f t="shared" si="95"/>
        <v>34591</v>
      </c>
      <c r="J2945" s="1" t="str">
        <f>"00742527"</f>
        <v>00742527</v>
      </c>
      <c r="K2945" s="1" t="str">
        <f>"１８３０　　　　　　　　　　　　　　　　"</f>
        <v>１８３０　　　　　　　　　　　　　　　　</v>
      </c>
      <c r="L2945" s="1"/>
    </row>
    <row r="2946" spans="1:12" ht="18" customHeight="1" x14ac:dyDescent="0.15">
      <c r="A2946" s="11">
        <v>3066</v>
      </c>
      <c r="B2946" s="11" t="s">
        <v>53</v>
      </c>
      <c r="C2946" s="11" t="s">
        <v>165</v>
      </c>
      <c r="D2946" s="11">
        <v>1</v>
      </c>
      <c r="E2946" s="11" t="s">
        <v>4</v>
      </c>
      <c r="F2946" s="12">
        <v>29900</v>
      </c>
      <c r="G2946" s="12">
        <v>29900</v>
      </c>
      <c r="H2946" s="11" t="str">
        <f t="shared" si="94"/>
        <v>平成6年9月14日</v>
      </c>
      <c r="I2946" s="22">
        <f t="shared" si="95"/>
        <v>34591</v>
      </c>
      <c r="J2946" s="1" t="str">
        <f>"00742529"</f>
        <v>00742529</v>
      </c>
      <c r="K2946" s="1" t="str">
        <f>"１８３１　　　　　　　　　　　　　　　　"</f>
        <v>１８３１　　　　　　　　　　　　　　　　</v>
      </c>
      <c r="L2946" s="1"/>
    </row>
    <row r="2947" spans="1:12" ht="18" customHeight="1" x14ac:dyDescent="0.15">
      <c r="A2947" s="11">
        <v>3067</v>
      </c>
      <c r="B2947" s="11" t="s">
        <v>53</v>
      </c>
      <c r="C2947" s="11" t="s">
        <v>165</v>
      </c>
      <c r="D2947" s="11">
        <v>1</v>
      </c>
      <c r="E2947" s="11" t="s">
        <v>4</v>
      </c>
      <c r="F2947" s="12">
        <v>29900</v>
      </c>
      <c r="G2947" s="12">
        <v>29900</v>
      </c>
      <c r="H2947" s="11" t="str">
        <f t="shared" si="94"/>
        <v>平成6年9月14日</v>
      </c>
      <c r="I2947" s="22">
        <f t="shared" si="95"/>
        <v>34591</v>
      </c>
      <c r="J2947" s="1" t="str">
        <f>"00742531"</f>
        <v>00742531</v>
      </c>
      <c r="K2947" s="1" t="str">
        <f>"１８３２　　　　　　　　　　　　　　　　"</f>
        <v>１８３２　　　　　　　　　　　　　　　　</v>
      </c>
      <c r="L2947" s="1"/>
    </row>
    <row r="2948" spans="1:12" ht="18" customHeight="1" x14ac:dyDescent="0.15">
      <c r="A2948" s="11">
        <v>3068</v>
      </c>
      <c r="B2948" s="11" t="s">
        <v>53</v>
      </c>
      <c r="C2948" s="11" t="s">
        <v>165</v>
      </c>
      <c r="D2948" s="11">
        <v>1</v>
      </c>
      <c r="E2948" s="11" t="s">
        <v>4</v>
      </c>
      <c r="F2948" s="12">
        <v>29900</v>
      </c>
      <c r="G2948" s="12">
        <v>29900</v>
      </c>
      <c r="H2948" s="11" t="str">
        <f t="shared" si="94"/>
        <v>平成6年9月14日</v>
      </c>
      <c r="I2948" s="22">
        <f t="shared" si="95"/>
        <v>34591</v>
      </c>
      <c r="J2948" s="1" t="str">
        <f>"00742533"</f>
        <v>00742533</v>
      </c>
      <c r="K2948" s="1" t="str">
        <f>"１８３３　　　　　　　　　　　　　　　　"</f>
        <v>１８３３　　　　　　　　　　　　　　　　</v>
      </c>
      <c r="L2948" s="1"/>
    </row>
    <row r="2949" spans="1:12" ht="18" customHeight="1" x14ac:dyDescent="0.15">
      <c r="A2949" s="11">
        <v>3069</v>
      </c>
      <c r="B2949" s="11" t="s">
        <v>53</v>
      </c>
      <c r="C2949" s="11" t="s">
        <v>165</v>
      </c>
      <c r="D2949" s="11">
        <v>1</v>
      </c>
      <c r="E2949" s="11" t="s">
        <v>4</v>
      </c>
      <c r="F2949" s="12">
        <v>29900</v>
      </c>
      <c r="G2949" s="12">
        <v>29900</v>
      </c>
      <c r="H2949" s="11" t="str">
        <f t="shared" si="94"/>
        <v>平成6年9月14日</v>
      </c>
      <c r="I2949" s="22">
        <f t="shared" si="95"/>
        <v>34591</v>
      </c>
      <c r="J2949" s="1" t="str">
        <f>"00742535"</f>
        <v>00742535</v>
      </c>
      <c r="K2949" s="1" t="str">
        <f>"１８３４　　　　　　　　　　　　　　　　"</f>
        <v>１８３４　　　　　　　　　　　　　　　　</v>
      </c>
      <c r="L2949" s="1"/>
    </row>
    <row r="2950" spans="1:12" ht="18" customHeight="1" x14ac:dyDescent="0.15">
      <c r="A2950" s="11">
        <v>3070</v>
      </c>
      <c r="B2950" s="11" t="s">
        <v>53</v>
      </c>
      <c r="C2950" s="11" t="s">
        <v>165</v>
      </c>
      <c r="D2950" s="11">
        <v>1</v>
      </c>
      <c r="E2950" s="11" t="s">
        <v>4</v>
      </c>
      <c r="F2950" s="12">
        <v>29900</v>
      </c>
      <c r="G2950" s="12">
        <v>29900</v>
      </c>
      <c r="H2950" s="11" t="str">
        <f t="shared" si="94"/>
        <v>平成6年9月14日</v>
      </c>
      <c r="I2950" s="22">
        <f t="shared" si="95"/>
        <v>34591</v>
      </c>
      <c r="J2950" s="1" t="str">
        <f>"00742537"</f>
        <v>00742537</v>
      </c>
      <c r="K2950" s="1" t="str">
        <f>"１８３５　　　　　　　　　　　　　　　　"</f>
        <v>１８３５　　　　　　　　　　　　　　　　</v>
      </c>
      <c r="L2950" s="1"/>
    </row>
    <row r="2951" spans="1:12" ht="18" customHeight="1" x14ac:dyDescent="0.15">
      <c r="A2951" s="11">
        <v>3071</v>
      </c>
      <c r="B2951" s="11" t="s">
        <v>53</v>
      </c>
      <c r="C2951" s="11" t="s">
        <v>165</v>
      </c>
      <c r="D2951" s="11">
        <v>1</v>
      </c>
      <c r="E2951" s="11" t="s">
        <v>4</v>
      </c>
      <c r="F2951" s="12">
        <v>29900</v>
      </c>
      <c r="G2951" s="12">
        <v>29900</v>
      </c>
      <c r="H2951" s="11" t="str">
        <f t="shared" si="94"/>
        <v>平成6年9月14日</v>
      </c>
      <c r="I2951" s="22">
        <f t="shared" si="95"/>
        <v>34591</v>
      </c>
      <c r="J2951" s="1" t="str">
        <f>"00742539"</f>
        <v>00742539</v>
      </c>
      <c r="K2951" s="1" t="str">
        <f>"１８３６　　　　　　　　　　　　　　　　"</f>
        <v>１８３６　　　　　　　　　　　　　　　　</v>
      </c>
      <c r="L2951" s="1"/>
    </row>
    <row r="2952" spans="1:12" ht="18" customHeight="1" x14ac:dyDescent="0.15">
      <c r="A2952" s="11">
        <v>3072</v>
      </c>
      <c r="B2952" s="11" t="s">
        <v>53</v>
      </c>
      <c r="C2952" s="11" t="s">
        <v>165</v>
      </c>
      <c r="D2952" s="11">
        <v>1</v>
      </c>
      <c r="E2952" s="11" t="s">
        <v>4</v>
      </c>
      <c r="F2952" s="12">
        <v>29900</v>
      </c>
      <c r="G2952" s="12">
        <v>29900</v>
      </c>
      <c r="H2952" s="11" t="str">
        <f t="shared" si="94"/>
        <v>平成6年9月14日</v>
      </c>
      <c r="I2952" s="22">
        <f t="shared" si="95"/>
        <v>34591</v>
      </c>
      <c r="J2952" s="1" t="str">
        <f>"00742541"</f>
        <v>00742541</v>
      </c>
      <c r="K2952" s="1" t="str">
        <f>"１８３７　　　　　　　　　　　　　　　　"</f>
        <v>１８３７　　　　　　　　　　　　　　　　</v>
      </c>
      <c r="L2952" s="1"/>
    </row>
    <row r="2953" spans="1:12" ht="18" customHeight="1" x14ac:dyDescent="0.15">
      <c r="A2953" s="11">
        <v>3073</v>
      </c>
      <c r="B2953" s="11" t="s">
        <v>53</v>
      </c>
      <c r="C2953" s="11" t="s">
        <v>165</v>
      </c>
      <c r="D2953" s="11">
        <v>1</v>
      </c>
      <c r="E2953" s="11" t="s">
        <v>4</v>
      </c>
      <c r="F2953" s="12">
        <v>29900</v>
      </c>
      <c r="G2953" s="12">
        <v>29900</v>
      </c>
      <c r="H2953" s="11" t="str">
        <f t="shared" si="94"/>
        <v>平成6年9月14日</v>
      </c>
      <c r="I2953" s="22">
        <f t="shared" si="95"/>
        <v>34591</v>
      </c>
      <c r="J2953" s="1" t="str">
        <f>"00742543"</f>
        <v>00742543</v>
      </c>
      <c r="K2953" s="1" t="str">
        <f>"１８３８　　　　　　　　　　　　　　　　"</f>
        <v>１８３８　　　　　　　　　　　　　　　　</v>
      </c>
      <c r="L2953" s="1"/>
    </row>
    <row r="2954" spans="1:12" ht="18" customHeight="1" x14ac:dyDescent="0.15">
      <c r="A2954" s="11">
        <v>3074</v>
      </c>
      <c r="B2954" s="11" t="s">
        <v>53</v>
      </c>
      <c r="C2954" s="11" t="s">
        <v>165</v>
      </c>
      <c r="D2954" s="11">
        <v>1</v>
      </c>
      <c r="E2954" s="11" t="s">
        <v>4</v>
      </c>
      <c r="F2954" s="12">
        <v>29900</v>
      </c>
      <c r="G2954" s="12">
        <v>29900</v>
      </c>
      <c r="H2954" s="11" t="str">
        <f t="shared" si="94"/>
        <v>平成6年9月14日</v>
      </c>
      <c r="I2954" s="22">
        <f t="shared" si="95"/>
        <v>34591</v>
      </c>
      <c r="J2954" s="1" t="str">
        <f>"00742545"</f>
        <v>00742545</v>
      </c>
      <c r="K2954" s="1" t="str">
        <f>"１８３９　　　　　　　　　　　　　　　　"</f>
        <v>１８３９　　　　　　　　　　　　　　　　</v>
      </c>
      <c r="L2954" s="1"/>
    </row>
    <row r="2955" spans="1:12" ht="18" customHeight="1" x14ac:dyDescent="0.15">
      <c r="A2955" s="11">
        <v>3075</v>
      </c>
      <c r="B2955" s="11" t="s">
        <v>53</v>
      </c>
      <c r="C2955" s="11" t="s">
        <v>165</v>
      </c>
      <c r="D2955" s="11">
        <v>1</v>
      </c>
      <c r="E2955" s="11" t="s">
        <v>4</v>
      </c>
      <c r="F2955" s="12">
        <v>29900</v>
      </c>
      <c r="G2955" s="12">
        <v>29900</v>
      </c>
      <c r="H2955" s="11" t="str">
        <f t="shared" si="94"/>
        <v>平成6年9月14日</v>
      </c>
      <c r="I2955" s="22">
        <f t="shared" si="95"/>
        <v>34591</v>
      </c>
      <c r="J2955" s="1" t="str">
        <f>"00742547"</f>
        <v>00742547</v>
      </c>
      <c r="K2955" s="1" t="str">
        <f>"１８４０　　　　　　　　　　　　　　　　"</f>
        <v>１８４０　　　　　　　　　　　　　　　　</v>
      </c>
      <c r="L2955" s="1"/>
    </row>
    <row r="2956" spans="1:12" ht="18" customHeight="1" x14ac:dyDescent="0.15">
      <c r="A2956" s="11">
        <v>3076</v>
      </c>
      <c r="B2956" s="11" t="s">
        <v>53</v>
      </c>
      <c r="C2956" s="11" t="s">
        <v>165</v>
      </c>
      <c r="D2956" s="11">
        <v>1</v>
      </c>
      <c r="E2956" s="11" t="s">
        <v>4</v>
      </c>
      <c r="F2956" s="12">
        <v>29900</v>
      </c>
      <c r="G2956" s="12">
        <v>29900</v>
      </c>
      <c r="H2956" s="11" t="str">
        <f t="shared" si="94"/>
        <v>平成6年9月14日</v>
      </c>
      <c r="I2956" s="22">
        <f t="shared" si="95"/>
        <v>34591</v>
      </c>
      <c r="J2956" s="1" t="str">
        <f>"00742549"</f>
        <v>00742549</v>
      </c>
      <c r="K2956" s="1" t="str">
        <f>"１８４１　　　　　　　　　　　　　　　　"</f>
        <v>１８４１　　　　　　　　　　　　　　　　</v>
      </c>
      <c r="L2956" s="1"/>
    </row>
    <row r="2957" spans="1:12" ht="18" customHeight="1" x14ac:dyDescent="0.15">
      <c r="A2957" s="11">
        <v>3077</v>
      </c>
      <c r="B2957" s="11" t="s">
        <v>53</v>
      </c>
      <c r="C2957" s="11" t="s">
        <v>165</v>
      </c>
      <c r="D2957" s="11">
        <v>1</v>
      </c>
      <c r="E2957" s="11" t="s">
        <v>4</v>
      </c>
      <c r="F2957" s="12">
        <v>29900</v>
      </c>
      <c r="G2957" s="12">
        <v>29900</v>
      </c>
      <c r="H2957" s="11" t="str">
        <f t="shared" si="94"/>
        <v>平成6年9月14日</v>
      </c>
      <c r="I2957" s="22">
        <f t="shared" si="95"/>
        <v>34591</v>
      </c>
      <c r="J2957" s="1" t="str">
        <f>"00742551"</f>
        <v>00742551</v>
      </c>
      <c r="K2957" s="1" t="str">
        <f>"１８４２　　　　　　　　　　　　　　　　"</f>
        <v>１８４２　　　　　　　　　　　　　　　　</v>
      </c>
      <c r="L2957" s="1"/>
    </row>
    <row r="2958" spans="1:12" ht="18" customHeight="1" x14ac:dyDescent="0.15">
      <c r="A2958" s="11">
        <v>3078</v>
      </c>
      <c r="B2958" s="11" t="s">
        <v>53</v>
      </c>
      <c r="C2958" s="11" t="s">
        <v>165</v>
      </c>
      <c r="D2958" s="11">
        <v>1</v>
      </c>
      <c r="E2958" s="11" t="s">
        <v>4</v>
      </c>
      <c r="F2958" s="12">
        <v>29900</v>
      </c>
      <c r="G2958" s="12">
        <v>29900</v>
      </c>
      <c r="H2958" s="11" t="str">
        <f t="shared" si="94"/>
        <v>平成6年9月14日</v>
      </c>
      <c r="I2958" s="22">
        <f t="shared" si="95"/>
        <v>34591</v>
      </c>
      <c r="J2958" s="1" t="str">
        <f>"00742553"</f>
        <v>00742553</v>
      </c>
      <c r="K2958" s="1" t="str">
        <f>"１８４３　　　　　　　　　　　　　　　　"</f>
        <v>１８４３　　　　　　　　　　　　　　　　</v>
      </c>
      <c r="L2958" s="1"/>
    </row>
    <row r="2959" spans="1:12" ht="18" customHeight="1" x14ac:dyDescent="0.15">
      <c r="A2959" s="11">
        <v>3079</v>
      </c>
      <c r="B2959" s="11" t="s">
        <v>53</v>
      </c>
      <c r="C2959" s="11" t="s">
        <v>165</v>
      </c>
      <c r="D2959" s="11">
        <v>1</v>
      </c>
      <c r="E2959" s="11" t="s">
        <v>4</v>
      </c>
      <c r="F2959" s="12">
        <v>29900</v>
      </c>
      <c r="G2959" s="12">
        <v>29900</v>
      </c>
      <c r="H2959" s="11" t="str">
        <f t="shared" ref="H2959:H3022" si="96">"平成6年9月14日"</f>
        <v>平成6年9月14日</v>
      </c>
      <c r="I2959" s="22">
        <f t="shared" si="95"/>
        <v>34591</v>
      </c>
      <c r="J2959" s="1" t="str">
        <f>"00742555"</f>
        <v>00742555</v>
      </c>
      <c r="K2959" s="1" t="str">
        <f>"１８４４　　　　　　　　　　　　　　　　"</f>
        <v>１８４４　　　　　　　　　　　　　　　　</v>
      </c>
      <c r="L2959" s="1"/>
    </row>
    <row r="2960" spans="1:12" ht="18" customHeight="1" x14ac:dyDescent="0.15">
      <c r="A2960" s="11">
        <v>3080</v>
      </c>
      <c r="B2960" s="11" t="s">
        <v>53</v>
      </c>
      <c r="C2960" s="11" t="s">
        <v>165</v>
      </c>
      <c r="D2960" s="11">
        <v>1</v>
      </c>
      <c r="E2960" s="11" t="s">
        <v>4</v>
      </c>
      <c r="F2960" s="12">
        <v>29900</v>
      </c>
      <c r="G2960" s="12">
        <v>29900</v>
      </c>
      <c r="H2960" s="11" t="str">
        <f t="shared" si="96"/>
        <v>平成6年9月14日</v>
      </c>
      <c r="I2960" s="22">
        <f t="shared" si="95"/>
        <v>34591</v>
      </c>
      <c r="J2960" s="1" t="str">
        <f>"00742557"</f>
        <v>00742557</v>
      </c>
      <c r="K2960" s="1" t="str">
        <f>"１８４５　　　　　　　　　　　　　　　　"</f>
        <v>１８４５　　　　　　　　　　　　　　　　</v>
      </c>
      <c r="L2960" s="1"/>
    </row>
    <row r="2961" spans="1:12" ht="18" customHeight="1" x14ac:dyDescent="0.15">
      <c r="A2961" s="11">
        <v>3081</v>
      </c>
      <c r="B2961" s="11" t="s">
        <v>53</v>
      </c>
      <c r="C2961" s="11" t="s">
        <v>165</v>
      </c>
      <c r="D2961" s="11">
        <v>1</v>
      </c>
      <c r="E2961" s="11" t="s">
        <v>4</v>
      </c>
      <c r="F2961" s="12">
        <v>29900</v>
      </c>
      <c r="G2961" s="12">
        <v>29900</v>
      </c>
      <c r="H2961" s="11" t="str">
        <f t="shared" si="96"/>
        <v>平成6年9月14日</v>
      </c>
      <c r="I2961" s="22">
        <f t="shared" si="95"/>
        <v>34591</v>
      </c>
      <c r="J2961" s="1" t="str">
        <f>"00742559"</f>
        <v>00742559</v>
      </c>
      <c r="K2961" s="1" t="str">
        <f>"１８４６　　　　　　　　　　　　　　　　"</f>
        <v>１８４６　　　　　　　　　　　　　　　　</v>
      </c>
      <c r="L2961" s="1"/>
    </row>
    <row r="2962" spans="1:12" ht="18" customHeight="1" x14ac:dyDescent="0.15">
      <c r="A2962" s="11">
        <v>3082</v>
      </c>
      <c r="B2962" s="11" t="s">
        <v>53</v>
      </c>
      <c r="C2962" s="11" t="s">
        <v>165</v>
      </c>
      <c r="D2962" s="11">
        <v>1</v>
      </c>
      <c r="E2962" s="11" t="s">
        <v>4</v>
      </c>
      <c r="F2962" s="12">
        <v>29900</v>
      </c>
      <c r="G2962" s="12">
        <v>29900</v>
      </c>
      <c r="H2962" s="11" t="str">
        <f t="shared" si="96"/>
        <v>平成6年9月14日</v>
      </c>
      <c r="I2962" s="22">
        <f t="shared" ref="I2962:I3025" si="97">DATEVALUE(H2962)</f>
        <v>34591</v>
      </c>
      <c r="J2962" s="1" t="str">
        <f>"00742561"</f>
        <v>00742561</v>
      </c>
      <c r="K2962" s="1" t="str">
        <f>"１８４７　　　　　　　　　　　　　　　　"</f>
        <v>１８４７　　　　　　　　　　　　　　　　</v>
      </c>
      <c r="L2962" s="1"/>
    </row>
    <row r="2963" spans="1:12" ht="18" customHeight="1" x14ac:dyDescent="0.15">
      <c r="A2963" s="11">
        <v>3083</v>
      </c>
      <c r="B2963" s="11" t="s">
        <v>53</v>
      </c>
      <c r="C2963" s="11" t="s">
        <v>165</v>
      </c>
      <c r="D2963" s="11">
        <v>1</v>
      </c>
      <c r="E2963" s="11" t="s">
        <v>4</v>
      </c>
      <c r="F2963" s="12">
        <v>29900</v>
      </c>
      <c r="G2963" s="12">
        <v>29900</v>
      </c>
      <c r="H2963" s="11" t="str">
        <f t="shared" si="96"/>
        <v>平成6年9月14日</v>
      </c>
      <c r="I2963" s="22">
        <f t="shared" si="97"/>
        <v>34591</v>
      </c>
      <c r="J2963" s="1" t="str">
        <f>"00742563"</f>
        <v>00742563</v>
      </c>
      <c r="K2963" s="1" t="str">
        <f>"１８４８　　　　　　　　　　　　　　　　"</f>
        <v>１８４８　　　　　　　　　　　　　　　　</v>
      </c>
      <c r="L2963" s="1"/>
    </row>
    <row r="2964" spans="1:12" ht="18" customHeight="1" x14ac:dyDescent="0.15">
      <c r="A2964" s="11">
        <v>3084</v>
      </c>
      <c r="B2964" s="11" t="s">
        <v>53</v>
      </c>
      <c r="C2964" s="11" t="s">
        <v>165</v>
      </c>
      <c r="D2964" s="11">
        <v>1</v>
      </c>
      <c r="E2964" s="11" t="s">
        <v>4</v>
      </c>
      <c r="F2964" s="12">
        <v>29900</v>
      </c>
      <c r="G2964" s="12">
        <v>29900</v>
      </c>
      <c r="H2964" s="11" t="str">
        <f t="shared" si="96"/>
        <v>平成6年9月14日</v>
      </c>
      <c r="I2964" s="22">
        <f t="shared" si="97"/>
        <v>34591</v>
      </c>
      <c r="J2964" s="1" t="str">
        <f>"00742565"</f>
        <v>00742565</v>
      </c>
      <c r="K2964" s="1" t="str">
        <f>"１８４９　　　　　　　　　　　　　　　　"</f>
        <v>１８４９　　　　　　　　　　　　　　　　</v>
      </c>
      <c r="L2964" s="1"/>
    </row>
    <row r="2965" spans="1:12" ht="18" customHeight="1" x14ac:dyDescent="0.15">
      <c r="A2965" s="11">
        <v>3085</v>
      </c>
      <c r="B2965" s="11" t="s">
        <v>53</v>
      </c>
      <c r="C2965" s="11" t="s">
        <v>165</v>
      </c>
      <c r="D2965" s="11">
        <v>1</v>
      </c>
      <c r="E2965" s="11" t="s">
        <v>4</v>
      </c>
      <c r="F2965" s="12">
        <v>29900</v>
      </c>
      <c r="G2965" s="12">
        <v>29900</v>
      </c>
      <c r="H2965" s="11" t="str">
        <f t="shared" si="96"/>
        <v>平成6年9月14日</v>
      </c>
      <c r="I2965" s="22">
        <f t="shared" si="97"/>
        <v>34591</v>
      </c>
      <c r="J2965" s="1" t="str">
        <f>"00742567"</f>
        <v>00742567</v>
      </c>
      <c r="K2965" s="1" t="str">
        <f>"１８５０　　　　　　　　　　　　　　　　"</f>
        <v>１８５０　　　　　　　　　　　　　　　　</v>
      </c>
      <c r="L2965" s="1"/>
    </row>
    <row r="2966" spans="1:12" ht="18" customHeight="1" x14ac:dyDescent="0.15">
      <c r="A2966" s="11">
        <v>3086</v>
      </c>
      <c r="B2966" s="11" t="s">
        <v>53</v>
      </c>
      <c r="C2966" s="11" t="s">
        <v>165</v>
      </c>
      <c r="D2966" s="11">
        <v>1</v>
      </c>
      <c r="E2966" s="11" t="s">
        <v>4</v>
      </c>
      <c r="F2966" s="12">
        <v>29900</v>
      </c>
      <c r="G2966" s="12">
        <v>29900</v>
      </c>
      <c r="H2966" s="11" t="str">
        <f t="shared" si="96"/>
        <v>平成6年9月14日</v>
      </c>
      <c r="I2966" s="22">
        <f t="shared" si="97"/>
        <v>34591</v>
      </c>
      <c r="J2966" s="1" t="str">
        <f>"00742569"</f>
        <v>00742569</v>
      </c>
      <c r="K2966" s="1" t="str">
        <f>"１８５１　　　　　　　　　　　　　　　　"</f>
        <v>１８５１　　　　　　　　　　　　　　　　</v>
      </c>
      <c r="L2966" s="1"/>
    </row>
    <row r="2967" spans="1:12" ht="18" customHeight="1" x14ac:dyDescent="0.15">
      <c r="A2967" s="11">
        <v>3087</v>
      </c>
      <c r="B2967" s="11" t="s">
        <v>53</v>
      </c>
      <c r="C2967" s="11" t="s">
        <v>165</v>
      </c>
      <c r="D2967" s="11">
        <v>1</v>
      </c>
      <c r="E2967" s="11" t="s">
        <v>4</v>
      </c>
      <c r="F2967" s="12">
        <v>29900</v>
      </c>
      <c r="G2967" s="12">
        <v>29900</v>
      </c>
      <c r="H2967" s="11" t="str">
        <f t="shared" si="96"/>
        <v>平成6年9月14日</v>
      </c>
      <c r="I2967" s="22">
        <f t="shared" si="97"/>
        <v>34591</v>
      </c>
      <c r="J2967" s="1" t="str">
        <f>"00742571"</f>
        <v>00742571</v>
      </c>
      <c r="K2967" s="1" t="str">
        <f>"１８５２　　　　　　　　　　　　　　　　"</f>
        <v>１８５２　　　　　　　　　　　　　　　　</v>
      </c>
      <c r="L2967" s="1"/>
    </row>
    <row r="2968" spans="1:12" ht="18" customHeight="1" x14ac:dyDescent="0.15">
      <c r="A2968" s="11">
        <v>3088</v>
      </c>
      <c r="B2968" s="11" t="s">
        <v>53</v>
      </c>
      <c r="C2968" s="11" t="s">
        <v>165</v>
      </c>
      <c r="D2968" s="11">
        <v>1</v>
      </c>
      <c r="E2968" s="11" t="s">
        <v>4</v>
      </c>
      <c r="F2968" s="12">
        <v>29900</v>
      </c>
      <c r="G2968" s="12">
        <v>29900</v>
      </c>
      <c r="H2968" s="11" t="str">
        <f t="shared" si="96"/>
        <v>平成6年9月14日</v>
      </c>
      <c r="I2968" s="22">
        <f t="shared" si="97"/>
        <v>34591</v>
      </c>
      <c r="J2968" s="1" t="str">
        <f>"00742573"</f>
        <v>00742573</v>
      </c>
      <c r="K2968" s="1" t="str">
        <f>"１８５３　　　　　　　　　　　　　　　　"</f>
        <v>１８５３　　　　　　　　　　　　　　　　</v>
      </c>
      <c r="L2968" s="1"/>
    </row>
    <row r="2969" spans="1:12" ht="18" customHeight="1" x14ac:dyDescent="0.15">
      <c r="A2969" s="11">
        <v>3089</v>
      </c>
      <c r="B2969" s="11" t="s">
        <v>53</v>
      </c>
      <c r="C2969" s="11" t="s">
        <v>165</v>
      </c>
      <c r="D2969" s="11">
        <v>1</v>
      </c>
      <c r="E2969" s="11" t="s">
        <v>4</v>
      </c>
      <c r="F2969" s="12">
        <v>29900</v>
      </c>
      <c r="G2969" s="12">
        <v>29900</v>
      </c>
      <c r="H2969" s="11" t="str">
        <f t="shared" si="96"/>
        <v>平成6年9月14日</v>
      </c>
      <c r="I2969" s="22">
        <f t="shared" si="97"/>
        <v>34591</v>
      </c>
      <c r="J2969" s="1" t="str">
        <f>"00742575"</f>
        <v>00742575</v>
      </c>
      <c r="K2969" s="1" t="str">
        <f>"１８５４　　　　　　　　　　　　　　　　"</f>
        <v>１８５４　　　　　　　　　　　　　　　　</v>
      </c>
      <c r="L2969" s="1"/>
    </row>
    <row r="2970" spans="1:12" ht="18" customHeight="1" x14ac:dyDescent="0.15">
      <c r="A2970" s="11">
        <v>3090</v>
      </c>
      <c r="B2970" s="11" t="s">
        <v>53</v>
      </c>
      <c r="C2970" s="11" t="s">
        <v>165</v>
      </c>
      <c r="D2970" s="11">
        <v>1</v>
      </c>
      <c r="E2970" s="11" t="s">
        <v>4</v>
      </c>
      <c r="F2970" s="12">
        <v>29900</v>
      </c>
      <c r="G2970" s="12">
        <v>29900</v>
      </c>
      <c r="H2970" s="11" t="str">
        <f t="shared" si="96"/>
        <v>平成6年9月14日</v>
      </c>
      <c r="I2970" s="22">
        <f t="shared" si="97"/>
        <v>34591</v>
      </c>
      <c r="J2970" s="1" t="str">
        <f>"00742577"</f>
        <v>00742577</v>
      </c>
      <c r="K2970" s="1" t="str">
        <f>"１８５５　　　　　　　　　　　　　　　　"</f>
        <v>１８５５　　　　　　　　　　　　　　　　</v>
      </c>
      <c r="L2970" s="1"/>
    </row>
    <row r="2971" spans="1:12" ht="18" customHeight="1" x14ac:dyDescent="0.15">
      <c r="A2971" s="11">
        <v>3091</v>
      </c>
      <c r="B2971" s="11" t="s">
        <v>53</v>
      </c>
      <c r="C2971" s="11" t="s">
        <v>165</v>
      </c>
      <c r="D2971" s="11">
        <v>1</v>
      </c>
      <c r="E2971" s="11" t="s">
        <v>4</v>
      </c>
      <c r="F2971" s="12">
        <v>29900</v>
      </c>
      <c r="G2971" s="12">
        <v>29900</v>
      </c>
      <c r="H2971" s="11" t="str">
        <f t="shared" si="96"/>
        <v>平成6年9月14日</v>
      </c>
      <c r="I2971" s="22">
        <f t="shared" si="97"/>
        <v>34591</v>
      </c>
      <c r="J2971" s="1" t="str">
        <f>"00742579"</f>
        <v>00742579</v>
      </c>
      <c r="K2971" s="1" t="str">
        <f>"１８５６　　　　　　　　　　　　　　　　"</f>
        <v>１８５６　　　　　　　　　　　　　　　　</v>
      </c>
      <c r="L2971" s="1"/>
    </row>
    <row r="2972" spans="1:12" ht="18" customHeight="1" x14ac:dyDescent="0.15">
      <c r="A2972" s="11">
        <v>3092</v>
      </c>
      <c r="B2972" s="11" t="s">
        <v>53</v>
      </c>
      <c r="C2972" s="11" t="s">
        <v>165</v>
      </c>
      <c r="D2972" s="11">
        <v>1</v>
      </c>
      <c r="E2972" s="11" t="s">
        <v>4</v>
      </c>
      <c r="F2972" s="12">
        <v>29900</v>
      </c>
      <c r="G2972" s="12">
        <v>29900</v>
      </c>
      <c r="H2972" s="11" t="str">
        <f t="shared" si="96"/>
        <v>平成6年9月14日</v>
      </c>
      <c r="I2972" s="22">
        <f t="shared" si="97"/>
        <v>34591</v>
      </c>
      <c r="J2972" s="1" t="str">
        <f>"00742581"</f>
        <v>00742581</v>
      </c>
      <c r="K2972" s="1" t="str">
        <f>"１８５７　　　　　　　　　　　　　　　　"</f>
        <v>１８５７　　　　　　　　　　　　　　　　</v>
      </c>
      <c r="L2972" s="1"/>
    </row>
    <row r="2973" spans="1:12" ht="18" customHeight="1" x14ac:dyDescent="0.15">
      <c r="A2973" s="11">
        <v>3093</v>
      </c>
      <c r="B2973" s="11" t="s">
        <v>53</v>
      </c>
      <c r="C2973" s="11" t="s">
        <v>165</v>
      </c>
      <c r="D2973" s="11">
        <v>1</v>
      </c>
      <c r="E2973" s="11" t="s">
        <v>4</v>
      </c>
      <c r="F2973" s="12">
        <v>29900</v>
      </c>
      <c r="G2973" s="12">
        <v>29900</v>
      </c>
      <c r="H2973" s="11" t="str">
        <f t="shared" si="96"/>
        <v>平成6年9月14日</v>
      </c>
      <c r="I2973" s="22">
        <f t="shared" si="97"/>
        <v>34591</v>
      </c>
      <c r="J2973" s="1" t="str">
        <f>"00742583"</f>
        <v>00742583</v>
      </c>
      <c r="K2973" s="1" t="str">
        <f>"１８５８　　　　　　　　　　　　　　　　"</f>
        <v>１８５８　　　　　　　　　　　　　　　　</v>
      </c>
      <c r="L2973" s="1"/>
    </row>
    <row r="2974" spans="1:12" ht="18" customHeight="1" x14ac:dyDescent="0.15">
      <c r="A2974" s="11">
        <v>3094</v>
      </c>
      <c r="B2974" s="11" t="s">
        <v>53</v>
      </c>
      <c r="C2974" s="11" t="s">
        <v>165</v>
      </c>
      <c r="D2974" s="11">
        <v>1</v>
      </c>
      <c r="E2974" s="11" t="s">
        <v>4</v>
      </c>
      <c r="F2974" s="12">
        <v>29900</v>
      </c>
      <c r="G2974" s="12">
        <v>29900</v>
      </c>
      <c r="H2974" s="11" t="str">
        <f t="shared" si="96"/>
        <v>平成6年9月14日</v>
      </c>
      <c r="I2974" s="22">
        <f t="shared" si="97"/>
        <v>34591</v>
      </c>
      <c r="J2974" s="1" t="str">
        <f>"00742585"</f>
        <v>00742585</v>
      </c>
      <c r="K2974" s="1" t="str">
        <f>"１８５９　　　　　　　　　　　　　　　　"</f>
        <v>１８５９　　　　　　　　　　　　　　　　</v>
      </c>
      <c r="L2974" s="1"/>
    </row>
    <row r="2975" spans="1:12" ht="18" customHeight="1" x14ac:dyDescent="0.15">
      <c r="A2975" s="11">
        <v>3095</v>
      </c>
      <c r="B2975" s="11" t="s">
        <v>53</v>
      </c>
      <c r="C2975" s="11" t="s">
        <v>165</v>
      </c>
      <c r="D2975" s="11">
        <v>1</v>
      </c>
      <c r="E2975" s="11" t="s">
        <v>4</v>
      </c>
      <c r="F2975" s="12">
        <v>29900</v>
      </c>
      <c r="G2975" s="12">
        <v>29900</v>
      </c>
      <c r="H2975" s="11" t="str">
        <f t="shared" si="96"/>
        <v>平成6年9月14日</v>
      </c>
      <c r="I2975" s="22">
        <f t="shared" si="97"/>
        <v>34591</v>
      </c>
      <c r="J2975" s="1" t="str">
        <f>"00742587"</f>
        <v>00742587</v>
      </c>
      <c r="K2975" s="1" t="str">
        <f>"１８６０　　　　　　　　　　　　　　　　"</f>
        <v>１８６０　　　　　　　　　　　　　　　　</v>
      </c>
      <c r="L2975" s="1"/>
    </row>
    <row r="2976" spans="1:12" ht="18" customHeight="1" x14ac:dyDescent="0.15">
      <c r="A2976" s="11">
        <v>3096</v>
      </c>
      <c r="B2976" s="11" t="s">
        <v>53</v>
      </c>
      <c r="C2976" s="11" t="s">
        <v>165</v>
      </c>
      <c r="D2976" s="11">
        <v>1</v>
      </c>
      <c r="E2976" s="11" t="s">
        <v>4</v>
      </c>
      <c r="F2976" s="12">
        <v>29900</v>
      </c>
      <c r="G2976" s="12">
        <v>29900</v>
      </c>
      <c r="H2976" s="11" t="str">
        <f t="shared" si="96"/>
        <v>平成6年9月14日</v>
      </c>
      <c r="I2976" s="22">
        <f t="shared" si="97"/>
        <v>34591</v>
      </c>
      <c r="J2976" s="1" t="str">
        <f>"00742589"</f>
        <v>00742589</v>
      </c>
      <c r="K2976" s="1" t="str">
        <f>"１８６１　　　　　　　　　　　　　　　　"</f>
        <v>１８６１　　　　　　　　　　　　　　　　</v>
      </c>
      <c r="L2976" s="1"/>
    </row>
    <row r="2977" spans="1:12" ht="18" customHeight="1" x14ac:dyDescent="0.15">
      <c r="A2977" s="11">
        <v>3097</v>
      </c>
      <c r="B2977" s="11" t="s">
        <v>53</v>
      </c>
      <c r="C2977" s="11" t="s">
        <v>165</v>
      </c>
      <c r="D2977" s="11">
        <v>1</v>
      </c>
      <c r="E2977" s="11" t="s">
        <v>4</v>
      </c>
      <c r="F2977" s="12">
        <v>29900</v>
      </c>
      <c r="G2977" s="12">
        <v>29900</v>
      </c>
      <c r="H2977" s="11" t="str">
        <f t="shared" si="96"/>
        <v>平成6年9月14日</v>
      </c>
      <c r="I2977" s="22">
        <f t="shared" si="97"/>
        <v>34591</v>
      </c>
      <c r="J2977" s="1" t="str">
        <f>"00742591"</f>
        <v>00742591</v>
      </c>
      <c r="K2977" s="1" t="str">
        <f>"１８６２　　　　　　　　　　　　　　　　"</f>
        <v>１８６２　　　　　　　　　　　　　　　　</v>
      </c>
      <c r="L2977" s="1"/>
    </row>
    <row r="2978" spans="1:12" ht="18" customHeight="1" x14ac:dyDescent="0.15">
      <c r="A2978" s="11">
        <v>3098</v>
      </c>
      <c r="B2978" s="11" t="s">
        <v>53</v>
      </c>
      <c r="C2978" s="11" t="s">
        <v>165</v>
      </c>
      <c r="D2978" s="11">
        <v>1</v>
      </c>
      <c r="E2978" s="11" t="s">
        <v>4</v>
      </c>
      <c r="F2978" s="12">
        <v>29900</v>
      </c>
      <c r="G2978" s="12">
        <v>29900</v>
      </c>
      <c r="H2978" s="11" t="str">
        <f t="shared" si="96"/>
        <v>平成6年9月14日</v>
      </c>
      <c r="I2978" s="22">
        <f t="shared" si="97"/>
        <v>34591</v>
      </c>
      <c r="J2978" s="1" t="str">
        <f>"00742593"</f>
        <v>00742593</v>
      </c>
      <c r="K2978" s="1" t="str">
        <f>"１８６３　　　　　　　　　　　　　　　　"</f>
        <v>１８６３　　　　　　　　　　　　　　　　</v>
      </c>
      <c r="L2978" s="1"/>
    </row>
    <row r="2979" spans="1:12" ht="18" customHeight="1" x14ac:dyDescent="0.15">
      <c r="A2979" s="11">
        <v>3099</v>
      </c>
      <c r="B2979" s="11" t="s">
        <v>53</v>
      </c>
      <c r="C2979" s="11" t="s">
        <v>165</v>
      </c>
      <c r="D2979" s="11">
        <v>1</v>
      </c>
      <c r="E2979" s="11" t="s">
        <v>4</v>
      </c>
      <c r="F2979" s="12">
        <v>29900</v>
      </c>
      <c r="G2979" s="12">
        <v>29900</v>
      </c>
      <c r="H2979" s="11" t="str">
        <f t="shared" si="96"/>
        <v>平成6年9月14日</v>
      </c>
      <c r="I2979" s="22">
        <f t="shared" si="97"/>
        <v>34591</v>
      </c>
      <c r="J2979" s="1" t="str">
        <f>"00742595"</f>
        <v>00742595</v>
      </c>
      <c r="K2979" s="1" t="str">
        <f>"１８６４　　　　　　　　　　　　　　　　"</f>
        <v>１８６４　　　　　　　　　　　　　　　　</v>
      </c>
      <c r="L2979" s="1"/>
    </row>
    <row r="2980" spans="1:12" ht="18" customHeight="1" x14ac:dyDescent="0.15">
      <c r="A2980" s="11">
        <v>3100</v>
      </c>
      <c r="B2980" s="11" t="s">
        <v>53</v>
      </c>
      <c r="C2980" s="11" t="s">
        <v>165</v>
      </c>
      <c r="D2980" s="11">
        <v>1</v>
      </c>
      <c r="E2980" s="11" t="s">
        <v>4</v>
      </c>
      <c r="F2980" s="12">
        <v>29900</v>
      </c>
      <c r="G2980" s="12">
        <v>29900</v>
      </c>
      <c r="H2980" s="11" t="str">
        <f t="shared" si="96"/>
        <v>平成6年9月14日</v>
      </c>
      <c r="I2980" s="22">
        <f t="shared" si="97"/>
        <v>34591</v>
      </c>
      <c r="J2980" s="1" t="str">
        <f>"00742597"</f>
        <v>00742597</v>
      </c>
      <c r="K2980" s="1" t="str">
        <f>"１８６５　　　　　　　　　　　　　　　　"</f>
        <v>１８６５　　　　　　　　　　　　　　　　</v>
      </c>
      <c r="L2980" s="1"/>
    </row>
    <row r="2981" spans="1:12" ht="18" customHeight="1" x14ac:dyDescent="0.15">
      <c r="A2981" s="11">
        <v>3101</v>
      </c>
      <c r="B2981" s="11" t="s">
        <v>53</v>
      </c>
      <c r="C2981" s="11" t="s">
        <v>165</v>
      </c>
      <c r="D2981" s="11">
        <v>1</v>
      </c>
      <c r="E2981" s="11" t="s">
        <v>4</v>
      </c>
      <c r="F2981" s="12">
        <v>29900</v>
      </c>
      <c r="G2981" s="12">
        <v>29900</v>
      </c>
      <c r="H2981" s="11" t="str">
        <f t="shared" si="96"/>
        <v>平成6年9月14日</v>
      </c>
      <c r="I2981" s="22">
        <f t="shared" si="97"/>
        <v>34591</v>
      </c>
      <c r="J2981" s="1" t="str">
        <f>"00742599"</f>
        <v>00742599</v>
      </c>
      <c r="K2981" s="1" t="str">
        <f>"１８６６　　　　　　　　　　　　　　　　"</f>
        <v>１８６６　　　　　　　　　　　　　　　　</v>
      </c>
      <c r="L2981" s="1"/>
    </row>
    <row r="2982" spans="1:12" ht="18" customHeight="1" x14ac:dyDescent="0.15">
      <c r="A2982" s="11">
        <v>3102</v>
      </c>
      <c r="B2982" s="11" t="s">
        <v>53</v>
      </c>
      <c r="C2982" s="11" t="s">
        <v>165</v>
      </c>
      <c r="D2982" s="11">
        <v>1</v>
      </c>
      <c r="E2982" s="11" t="s">
        <v>4</v>
      </c>
      <c r="F2982" s="12">
        <v>29900</v>
      </c>
      <c r="G2982" s="12">
        <v>29900</v>
      </c>
      <c r="H2982" s="11" t="str">
        <f t="shared" si="96"/>
        <v>平成6年9月14日</v>
      </c>
      <c r="I2982" s="22">
        <f t="shared" si="97"/>
        <v>34591</v>
      </c>
      <c r="J2982" s="1" t="str">
        <f>"00742601"</f>
        <v>00742601</v>
      </c>
      <c r="K2982" s="1" t="str">
        <f>"１８６７　　　　　　　　　　　　　　　　"</f>
        <v>１８６７　　　　　　　　　　　　　　　　</v>
      </c>
      <c r="L2982" s="1"/>
    </row>
    <row r="2983" spans="1:12" ht="18" customHeight="1" x14ac:dyDescent="0.15">
      <c r="A2983" s="11">
        <v>3103</v>
      </c>
      <c r="B2983" s="11" t="s">
        <v>53</v>
      </c>
      <c r="C2983" s="11" t="s">
        <v>165</v>
      </c>
      <c r="D2983" s="11">
        <v>1</v>
      </c>
      <c r="E2983" s="11" t="s">
        <v>4</v>
      </c>
      <c r="F2983" s="12">
        <v>29900</v>
      </c>
      <c r="G2983" s="12">
        <v>29900</v>
      </c>
      <c r="H2983" s="11" t="str">
        <f t="shared" si="96"/>
        <v>平成6年9月14日</v>
      </c>
      <c r="I2983" s="22">
        <f t="shared" si="97"/>
        <v>34591</v>
      </c>
      <c r="J2983" s="1" t="str">
        <f>"00742603"</f>
        <v>00742603</v>
      </c>
      <c r="K2983" s="1" t="str">
        <f>"１８６８　　　　　　　　　　　　　　　　"</f>
        <v>１８６８　　　　　　　　　　　　　　　　</v>
      </c>
      <c r="L2983" s="1"/>
    </row>
    <row r="2984" spans="1:12" ht="18" customHeight="1" x14ac:dyDescent="0.15">
      <c r="A2984" s="11">
        <v>3104</v>
      </c>
      <c r="B2984" s="11" t="s">
        <v>53</v>
      </c>
      <c r="C2984" s="11" t="s">
        <v>165</v>
      </c>
      <c r="D2984" s="11">
        <v>1</v>
      </c>
      <c r="E2984" s="11" t="s">
        <v>4</v>
      </c>
      <c r="F2984" s="12">
        <v>29900</v>
      </c>
      <c r="G2984" s="12">
        <v>29900</v>
      </c>
      <c r="H2984" s="11" t="str">
        <f t="shared" si="96"/>
        <v>平成6年9月14日</v>
      </c>
      <c r="I2984" s="22">
        <f t="shared" si="97"/>
        <v>34591</v>
      </c>
      <c r="J2984" s="1" t="str">
        <f>"00742605"</f>
        <v>00742605</v>
      </c>
      <c r="K2984" s="1" t="str">
        <f>"１８６９　　　　　　　　　　　　　　　　"</f>
        <v>１８６９　　　　　　　　　　　　　　　　</v>
      </c>
      <c r="L2984" s="1"/>
    </row>
    <row r="2985" spans="1:12" ht="18" customHeight="1" x14ac:dyDescent="0.15">
      <c r="A2985" s="11">
        <v>3105</v>
      </c>
      <c r="B2985" s="11" t="s">
        <v>53</v>
      </c>
      <c r="C2985" s="11" t="s">
        <v>165</v>
      </c>
      <c r="D2985" s="11">
        <v>1</v>
      </c>
      <c r="E2985" s="11" t="s">
        <v>4</v>
      </c>
      <c r="F2985" s="12">
        <v>29900</v>
      </c>
      <c r="G2985" s="12">
        <v>29900</v>
      </c>
      <c r="H2985" s="11" t="str">
        <f t="shared" si="96"/>
        <v>平成6年9月14日</v>
      </c>
      <c r="I2985" s="22">
        <f t="shared" si="97"/>
        <v>34591</v>
      </c>
      <c r="J2985" s="1" t="str">
        <f>"00742607"</f>
        <v>00742607</v>
      </c>
      <c r="K2985" s="1" t="str">
        <f>"１８７０　　　　　　　　　　　　　　　　"</f>
        <v>１８７０　　　　　　　　　　　　　　　　</v>
      </c>
      <c r="L2985" s="1"/>
    </row>
    <row r="2986" spans="1:12" ht="18" customHeight="1" x14ac:dyDescent="0.15">
      <c r="A2986" s="11">
        <v>3106</v>
      </c>
      <c r="B2986" s="11" t="s">
        <v>53</v>
      </c>
      <c r="C2986" s="11" t="s">
        <v>165</v>
      </c>
      <c r="D2986" s="11">
        <v>1</v>
      </c>
      <c r="E2986" s="11" t="s">
        <v>4</v>
      </c>
      <c r="F2986" s="12">
        <v>29900</v>
      </c>
      <c r="G2986" s="12">
        <v>29900</v>
      </c>
      <c r="H2986" s="11" t="str">
        <f t="shared" si="96"/>
        <v>平成6年9月14日</v>
      </c>
      <c r="I2986" s="22">
        <f t="shared" si="97"/>
        <v>34591</v>
      </c>
      <c r="J2986" s="1" t="str">
        <f>"00742609"</f>
        <v>00742609</v>
      </c>
      <c r="K2986" s="1" t="str">
        <f>"１８７１　　　　　　　　　　　　　　　　"</f>
        <v>１８７１　　　　　　　　　　　　　　　　</v>
      </c>
      <c r="L2986" s="1"/>
    </row>
    <row r="2987" spans="1:12" ht="18" customHeight="1" x14ac:dyDescent="0.15">
      <c r="A2987" s="11">
        <v>3107</v>
      </c>
      <c r="B2987" s="11" t="s">
        <v>53</v>
      </c>
      <c r="C2987" s="11" t="s">
        <v>165</v>
      </c>
      <c r="D2987" s="11">
        <v>1</v>
      </c>
      <c r="E2987" s="11" t="s">
        <v>4</v>
      </c>
      <c r="F2987" s="12">
        <v>29900</v>
      </c>
      <c r="G2987" s="12">
        <v>29900</v>
      </c>
      <c r="H2987" s="11" t="str">
        <f t="shared" si="96"/>
        <v>平成6年9月14日</v>
      </c>
      <c r="I2987" s="22">
        <f t="shared" si="97"/>
        <v>34591</v>
      </c>
      <c r="J2987" s="1" t="str">
        <f>"00742611"</f>
        <v>00742611</v>
      </c>
      <c r="K2987" s="1" t="str">
        <f>"１８７２　　　　　　　　　　　　　　　　"</f>
        <v>１８７２　　　　　　　　　　　　　　　　</v>
      </c>
      <c r="L2987" s="1"/>
    </row>
    <row r="2988" spans="1:12" ht="18" customHeight="1" x14ac:dyDescent="0.15">
      <c r="A2988" s="11">
        <v>3108</v>
      </c>
      <c r="B2988" s="11" t="s">
        <v>53</v>
      </c>
      <c r="C2988" s="11" t="s">
        <v>165</v>
      </c>
      <c r="D2988" s="11">
        <v>1</v>
      </c>
      <c r="E2988" s="11" t="s">
        <v>4</v>
      </c>
      <c r="F2988" s="12">
        <v>29900</v>
      </c>
      <c r="G2988" s="12">
        <v>29900</v>
      </c>
      <c r="H2988" s="11" t="str">
        <f t="shared" si="96"/>
        <v>平成6年9月14日</v>
      </c>
      <c r="I2988" s="22">
        <f t="shared" si="97"/>
        <v>34591</v>
      </c>
      <c r="J2988" s="1" t="str">
        <f>"00742613"</f>
        <v>00742613</v>
      </c>
      <c r="K2988" s="1" t="str">
        <f>"１８７３　　　　　　　　　　　　　　　　"</f>
        <v>１８７３　　　　　　　　　　　　　　　　</v>
      </c>
      <c r="L2988" s="1"/>
    </row>
    <row r="2989" spans="1:12" ht="18" customHeight="1" x14ac:dyDescent="0.15">
      <c r="A2989" s="11">
        <v>3109</v>
      </c>
      <c r="B2989" s="11" t="s">
        <v>53</v>
      </c>
      <c r="C2989" s="11" t="s">
        <v>165</v>
      </c>
      <c r="D2989" s="11">
        <v>1</v>
      </c>
      <c r="E2989" s="11" t="s">
        <v>4</v>
      </c>
      <c r="F2989" s="12">
        <v>29900</v>
      </c>
      <c r="G2989" s="12">
        <v>29900</v>
      </c>
      <c r="H2989" s="11" t="str">
        <f t="shared" si="96"/>
        <v>平成6年9月14日</v>
      </c>
      <c r="I2989" s="22">
        <f t="shared" si="97"/>
        <v>34591</v>
      </c>
      <c r="J2989" s="1" t="str">
        <f>"00742615"</f>
        <v>00742615</v>
      </c>
      <c r="K2989" s="1" t="str">
        <f>"１８７４　　　　　　　　　　　　　　　　"</f>
        <v>１８７４　　　　　　　　　　　　　　　　</v>
      </c>
      <c r="L2989" s="1"/>
    </row>
    <row r="2990" spans="1:12" ht="18" customHeight="1" x14ac:dyDescent="0.15">
      <c r="A2990" s="11">
        <v>3110</v>
      </c>
      <c r="B2990" s="11" t="s">
        <v>53</v>
      </c>
      <c r="C2990" s="11" t="s">
        <v>165</v>
      </c>
      <c r="D2990" s="11">
        <v>1</v>
      </c>
      <c r="E2990" s="11" t="s">
        <v>4</v>
      </c>
      <c r="F2990" s="12">
        <v>29900</v>
      </c>
      <c r="G2990" s="12">
        <v>29900</v>
      </c>
      <c r="H2990" s="11" t="str">
        <f t="shared" si="96"/>
        <v>平成6年9月14日</v>
      </c>
      <c r="I2990" s="22">
        <f t="shared" si="97"/>
        <v>34591</v>
      </c>
      <c r="J2990" s="1" t="str">
        <f>"00742617"</f>
        <v>00742617</v>
      </c>
      <c r="K2990" s="1" t="str">
        <f>"１８７５　　　　　　　　　　　　　　　　"</f>
        <v>１８７５　　　　　　　　　　　　　　　　</v>
      </c>
      <c r="L2990" s="1"/>
    </row>
    <row r="2991" spans="1:12" ht="18" customHeight="1" x14ac:dyDescent="0.15">
      <c r="A2991" s="11">
        <v>3111</v>
      </c>
      <c r="B2991" s="11" t="s">
        <v>53</v>
      </c>
      <c r="C2991" s="11" t="s">
        <v>165</v>
      </c>
      <c r="D2991" s="11">
        <v>1</v>
      </c>
      <c r="E2991" s="11" t="s">
        <v>4</v>
      </c>
      <c r="F2991" s="12">
        <v>29900</v>
      </c>
      <c r="G2991" s="12">
        <v>29900</v>
      </c>
      <c r="H2991" s="11" t="str">
        <f t="shared" si="96"/>
        <v>平成6年9月14日</v>
      </c>
      <c r="I2991" s="22">
        <f t="shared" si="97"/>
        <v>34591</v>
      </c>
      <c r="J2991" s="1" t="str">
        <f>"00742619"</f>
        <v>00742619</v>
      </c>
      <c r="K2991" s="1" t="str">
        <f>"１８７６　　　　　　　　　　　　　　　　"</f>
        <v>１８７６　　　　　　　　　　　　　　　　</v>
      </c>
      <c r="L2991" s="1"/>
    </row>
    <row r="2992" spans="1:12" ht="18" customHeight="1" x14ac:dyDescent="0.15">
      <c r="A2992" s="11">
        <v>3112</v>
      </c>
      <c r="B2992" s="11" t="s">
        <v>53</v>
      </c>
      <c r="C2992" s="11" t="s">
        <v>165</v>
      </c>
      <c r="D2992" s="11">
        <v>1</v>
      </c>
      <c r="E2992" s="11" t="s">
        <v>4</v>
      </c>
      <c r="F2992" s="12">
        <v>29900</v>
      </c>
      <c r="G2992" s="12">
        <v>29900</v>
      </c>
      <c r="H2992" s="11" t="str">
        <f t="shared" si="96"/>
        <v>平成6年9月14日</v>
      </c>
      <c r="I2992" s="22">
        <f t="shared" si="97"/>
        <v>34591</v>
      </c>
      <c r="J2992" s="1" t="str">
        <f>"00742621"</f>
        <v>00742621</v>
      </c>
      <c r="K2992" s="1" t="str">
        <f>"１８７７　　　　　　　　　　　　　　　　"</f>
        <v>１８７７　　　　　　　　　　　　　　　　</v>
      </c>
      <c r="L2992" s="1"/>
    </row>
    <row r="2993" spans="1:12" ht="18" customHeight="1" x14ac:dyDescent="0.15">
      <c r="A2993" s="11">
        <v>3113</v>
      </c>
      <c r="B2993" s="11" t="s">
        <v>53</v>
      </c>
      <c r="C2993" s="11" t="s">
        <v>165</v>
      </c>
      <c r="D2993" s="11">
        <v>1</v>
      </c>
      <c r="E2993" s="11" t="s">
        <v>4</v>
      </c>
      <c r="F2993" s="12">
        <v>29900</v>
      </c>
      <c r="G2993" s="12">
        <v>29900</v>
      </c>
      <c r="H2993" s="11" t="str">
        <f t="shared" si="96"/>
        <v>平成6年9月14日</v>
      </c>
      <c r="I2993" s="22">
        <f t="shared" si="97"/>
        <v>34591</v>
      </c>
      <c r="J2993" s="1" t="str">
        <f>"00742623"</f>
        <v>00742623</v>
      </c>
      <c r="K2993" s="1" t="str">
        <f>"１８７８　　　　　　　　　　　　　　　　"</f>
        <v>１８７８　　　　　　　　　　　　　　　　</v>
      </c>
      <c r="L2993" s="1"/>
    </row>
    <row r="2994" spans="1:12" ht="18" customHeight="1" x14ac:dyDescent="0.15">
      <c r="A2994" s="11">
        <v>3114</v>
      </c>
      <c r="B2994" s="11" t="s">
        <v>53</v>
      </c>
      <c r="C2994" s="11" t="s">
        <v>165</v>
      </c>
      <c r="D2994" s="11">
        <v>1</v>
      </c>
      <c r="E2994" s="11" t="s">
        <v>4</v>
      </c>
      <c r="F2994" s="12">
        <v>29900</v>
      </c>
      <c r="G2994" s="12">
        <v>29900</v>
      </c>
      <c r="H2994" s="11" t="str">
        <f t="shared" si="96"/>
        <v>平成6年9月14日</v>
      </c>
      <c r="I2994" s="22">
        <f t="shared" si="97"/>
        <v>34591</v>
      </c>
      <c r="J2994" s="1" t="str">
        <f>"00742625"</f>
        <v>00742625</v>
      </c>
      <c r="K2994" s="1" t="str">
        <f>"１８７９　　　　　　　　　　　　　　　　"</f>
        <v>１８７９　　　　　　　　　　　　　　　　</v>
      </c>
      <c r="L2994" s="1"/>
    </row>
    <row r="2995" spans="1:12" ht="18" customHeight="1" x14ac:dyDescent="0.15">
      <c r="A2995" s="11">
        <v>3115</v>
      </c>
      <c r="B2995" s="11" t="s">
        <v>53</v>
      </c>
      <c r="C2995" s="11" t="s">
        <v>165</v>
      </c>
      <c r="D2995" s="11">
        <v>1</v>
      </c>
      <c r="E2995" s="11" t="s">
        <v>4</v>
      </c>
      <c r="F2995" s="12">
        <v>29900</v>
      </c>
      <c r="G2995" s="12">
        <v>29900</v>
      </c>
      <c r="H2995" s="11" t="str">
        <f t="shared" si="96"/>
        <v>平成6年9月14日</v>
      </c>
      <c r="I2995" s="22">
        <f t="shared" si="97"/>
        <v>34591</v>
      </c>
      <c r="J2995" s="1" t="str">
        <f>"00742627"</f>
        <v>00742627</v>
      </c>
      <c r="K2995" s="1" t="str">
        <f>"１８８０　　　　　　　　　　　　　　　　"</f>
        <v>１８８０　　　　　　　　　　　　　　　　</v>
      </c>
      <c r="L2995" s="1"/>
    </row>
    <row r="2996" spans="1:12" ht="18" customHeight="1" x14ac:dyDescent="0.15">
      <c r="A2996" s="11">
        <v>3116</v>
      </c>
      <c r="B2996" s="11" t="s">
        <v>53</v>
      </c>
      <c r="C2996" s="11" t="s">
        <v>165</v>
      </c>
      <c r="D2996" s="11">
        <v>1</v>
      </c>
      <c r="E2996" s="11" t="s">
        <v>4</v>
      </c>
      <c r="F2996" s="12">
        <v>29900</v>
      </c>
      <c r="G2996" s="12">
        <v>29900</v>
      </c>
      <c r="H2996" s="11" t="str">
        <f t="shared" si="96"/>
        <v>平成6年9月14日</v>
      </c>
      <c r="I2996" s="22">
        <f t="shared" si="97"/>
        <v>34591</v>
      </c>
      <c r="J2996" s="1" t="str">
        <f>"00742629"</f>
        <v>00742629</v>
      </c>
      <c r="K2996" s="1" t="str">
        <f>"１８８１　　　　　　　　　　　　　　　　"</f>
        <v>１８８１　　　　　　　　　　　　　　　　</v>
      </c>
      <c r="L2996" s="1"/>
    </row>
    <row r="2997" spans="1:12" ht="18" customHeight="1" x14ac:dyDescent="0.15">
      <c r="A2997" s="11">
        <v>3117</v>
      </c>
      <c r="B2997" s="11" t="s">
        <v>53</v>
      </c>
      <c r="C2997" s="11" t="s">
        <v>165</v>
      </c>
      <c r="D2997" s="11">
        <v>1</v>
      </c>
      <c r="E2997" s="11" t="s">
        <v>4</v>
      </c>
      <c r="F2997" s="12">
        <v>29900</v>
      </c>
      <c r="G2997" s="12">
        <v>29900</v>
      </c>
      <c r="H2997" s="11" t="str">
        <f t="shared" si="96"/>
        <v>平成6年9月14日</v>
      </c>
      <c r="I2997" s="22">
        <f t="shared" si="97"/>
        <v>34591</v>
      </c>
      <c r="J2997" s="1" t="str">
        <f>"00742631"</f>
        <v>00742631</v>
      </c>
      <c r="K2997" s="1" t="str">
        <f>"１８８２　　　　　　　　　　　　　　　　"</f>
        <v>１８８２　　　　　　　　　　　　　　　　</v>
      </c>
      <c r="L2997" s="1"/>
    </row>
    <row r="2998" spans="1:12" ht="18" customHeight="1" x14ac:dyDescent="0.15">
      <c r="A2998" s="11">
        <v>3118</v>
      </c>
      <c r="B2998" s="11" t="s">
        <v>53</v>
      </c>
      <c r="C2998" s="11" t="s">
        <v>165</v>
      </c>
      <c r="D2998" s="11">
        <v>1</v>
      </c>
      <c r="E2998" s="11" t="s">
        <v>4</v>
      </c>
      <c r="F2998" s="12">
        <v>29900</v>
      </c>
      <c r="G2998" s="12">
        <v>29900</v>
      </c>
      <c r="H2998" s="11" t="str">
        <f t="shared" si="96"/>
        <v>平成6年9月14日</v>
      </c>
      <c r="I2998" s="22">
        <f t="shared" si="97"/>
        <v>34591</v>
      </c>
      <c r="J2998" s="1" t="str">
        <f>"00742633"</f>
        <v>00742633</v>
      </c>
      <c r="K2998" s="1" t="str">
        <f>"１８８３　　　　　　　　　　　　　　　　"</f>
        <v>１８８３　　　　　　　　　　　　　　　　</v>
      </c>
      <c r="L2998" s="1"/>
    </row>
    <row r="2999" spans="1:12" ht="18" customHeight="1" x14ac:dyDescent="0.15">
      <c r="A2999" s="11">
        <v>3119</v>
      </c>
      <c r="B2999" s="11" t="s">
        <v>53</v>
      </c>
      <c r="C2999" s="11" t="s">
        <v>165</v>
      </c>
      <c r="D2999" s="11">
        <v>1</v>
      </c>
      <c r="E2999" s="11" t="s">
        <v>4</v>
      </c>
      <c r="F2999" s="12">
        <v>29900</v>
      </c>
      <c r="G2999" s="12">
        <v>29900</v>
      </c>
      <c r="H2999" s="11" t="str">
        <f t="shared" si="96"/>
        <v>平成6年9月14日</v>
      </c>
      <c r="I2999" s="22">
        <f t="shared" si="97"/>
        <v>34591</v>
      </c>
      <c r="J2999" s="1" t="str">
        <f>"00742635"</f>
        <v>00742635</v>
      </c>
      <c r="K2999" s="1" t="str">
        <f>"１８８４　　　　　　　　　　　　　　　　"</f>
        <v>１８８４　　　　　　　　　　　　　　　　</v>
      </c>
      <c r="L2999" s="1"/>
    </row>
    <row r="3000" spans="1:12" ht="18" customHeight="1" x14ac:dyDescent="0.15">
      <c r="A3000" s="11">
        <v>3120</v>
      </c>
      <c r="B3000" s="11" t="s">
        <v>53</v>
      </c>
      <c r="C3000" s="11" t="s">
        <v>165</v>
      </c>
      <c r="D3000" s="11">
        <v>1</v>
      </c>
      <c r="E3000" s="11" t="s">
        <v>4</v>
      </c>
      <c r="F3000" s="12">
        <v>29900</v>
      </c>
      <c r="G3000" s="12">
        <v>29900</v>
      </c>
      <c r="H3000" s="11" t="str">
        <f t="shared" si="96"/>
        <v>平成6年9月14日</v>
      </c>
      <c r="I3000" s="22">
        <f t="shared" si="97"/>
        <v>34591</v>
      </c>
      <c r="J3000" s="1" t="str">
        <f>"00742637"</f>
        <v>00742637</v>
      </c>
      <c r="K3000" s="1" t="str">
        <f>"１８８５　　　　　　　　　　　　　　　　"</f>
        <v>１８８５　　　　　　　　　　　　　　　　</v>
      </c>
      <c r="L3000" s="1"/>
    </row>
    <row r="3001" spans="1:12" ht="18" customHeight="1" x14ac:dyDescent="0.15">
      <c r="A3001" s="11">
        <v>3121</v>
      </c>
      <c r="B3001" s="11" t="s">
        <v>53</v>
      </c>
      <c r="C3001" s="11" t="s">
        <v>165</v>
      </c>
      <c r="D3001" s="11">
        <v>1</v>
      </c>
      <c r="E3001" s="11" t="s">
        <v>4</v>
      </c>
      <c r="F3001" s="12">
        <v>29900</v>
      </c>
      <c r="G3001" s="12">
        <v>29900</v>
      </c>
      <c r="H3001" s="11" t="str">
        <f t="shared" si="96"/>
        <v>平成6年9月14日</v>
      </c>
      <c r="I3001" s="22">
        <f t="shared" si="97"/>
        <v>34591</v>
      </c>
      <c r="J3001" s="1" t="str">
        <f>"00742639"</f>
        <v>00742639</v>
      </c>
      <c r="K3001" s="1" t="str">
        <f>"１８８６　　　　　　　　　　　　　　　　"</f>
        <v>１８８６　　　　　　　　　　　　　　　　</v>
      </c>
      <c r="L3001" s="1"/>
    </row>
    <row r="3002" spans="1:12" ht="18" customHeight="1" x14ac:dyDescent="0.15">
      <c r="A3002" s="11">
        <v>3122</v>
      </c>
      <c r="B3002" s="11" t="s">
        <v>53</v>
      </c>
      <c r="C3002" s="11" t="s">
        <v>165</v>
      </c>
      <c r="D3002" s="11">
        <v>1</v>
      </c>
      <c r="E3002" s="11" t="s">
        <v>4</v>
      </c>
      <c r="F3002" s="12">
        <v>29900</v>
      </c>
      <c r="G3002" s="12">
        <v>29900</v>
      </c>
      <c r="H3002" s="11" t="str">
        <f t="shared" si="96"/>
        <v>平成6年9月14日</v>
      </c>
      <c r="I3002" s="22">
        <f t="shared" si="97"/>
        <v>34591</v>
      </c>
      <c r="J3002" s="1" t="str">
        <f>"00742641"</f>
        <v>00742641</v>
      </c>
      <c r="K3002" s="1" t="str">
        <f>"１８８７　　　　　　　　　　　　　　　　"</f>
        <v>１８８７　　　　　　　　　　　　　　　　</v>
      </c>
      <c r="L3002" s="1"/>
    </row>
    <row r="3003" spans="1:12" ht="18" customHeight="1" x14ac:dyDescent="0.15">
      <c r="A3003" s="11">
        <v>3123</v>
      </c>
      <c r="B3003" s="11" t="s">
        <v>53</v>
      </c>
      <c r="C3003" s="11" t="s">
        <v>165</v>
      </c>
      <c r="D3003" s="11">
        <v>1</v>
      </c>
      <c r="E3003" s="11" t="s">
        <v>4</v>
      </c>
      <c r="F3003" s="12">
        <v>29900</v>
      </c>
      <c r="G3003" s="12">
        <v>29900</v>
      </c>
      <c r="H3003" s="11" t="str">
        <f t="shared" si="96"/>
        <v>平成6年9月14日</v>
      </c>
      <c r="I3003" s="22">
        <f t="shared" si="97"/>
        <v>34591</v>
      </c>
      <c r="J3003" s="1" t="str">
        <f>"00742643"</f>
        <v>00742643</v>
      </c>
      <c r="K3003" s="1" t="str">
        <f>"１８８８　　　　　　　　　　　　　　　　"</f>
        <v>１８８８　　　　　　　　　　　　　　　　</v>
      </c>
      <c r="L3003" s="1"/>
    </row>
    <row r="3004" spans="1:12" ht="18" customHeight="1" x14ac:dyDescent="0.15">
      <c r="A3004" s="11">
        <v>3124</v>
      </c>
      <c r="B3004" s="11" t="s">
        <v>53</v>
      </c>
      <c r="C3004" s="11" t="s">
        <v>165</v>
      </c>
      <c r="D3004" s="11">
        <v>1</v>
      </c>
      <c r="E3004" s="11" t="s">
        <v>4</v>
      </c>
      <c r="F3004" s="12">
        <v>29900</v>
      </c>
      <c r="G3004" s="12">
        <v>29900</v>
      </c>
      <c r="H3004" s="11" t="str">
        <f t="shared" si="96"/>
        <v>平成6年9月14日</v>
      </c>
      <c r="I3004" s="22">
        <f t="shared" si="97"/>
        <v>34591</v>
      </c>
      <c r="J3004" s="1" t="str">
        <f>"00742645"</f>
        <v>00742645</v>
      </c>
      <c r="K3004" s="1" t="str">
        <f>"１８８９　　　　　　　　　　　　　　　　"</f>
        <v>１８８９　　　　　　　　　　　　　　　　</v>
      </c>
      <c r="L3004" s="1"/>
    </row>
    <row r="3005" spans="1:12" ht="18" customHeight="1" x14ac:dyDescent="0.15">
      <c r="A3005" s="11">
        <v>3125</v>
      </c>
      <c r="B3005" s="11" t="s">
        <v>53</v>
      </c>
      <c r="C3005" s="11" t="s">
        <v>165</v>
      </c>
      <c r="D3005" s="11">
        <v>1</v>
      </c>
      <c r="E3005" s="11" t="s">
        <v>4</v>
      </c>
      <c r="F3005" s="12">
        <v>29900</v>
      </c>
      <c r="G3005" s="12">
        <v>29900</v>
      </c>
      <c r="H3005" s="11" t="str">
        <f t="shared" si="96"/>
        <v>平成6年9月14日</v>
      </c>
      <c r="I3005" s="22">
        <f t="shared" si="97"/>
        <v>34591</v>
      </c>
      <c r="J3005" s="1" t="str">
        <f>"00742647"</f>
        <v>00742647</v>
      </c>
      <c r="K3005" s="1" t="str">
        <f>"１８９０　　　　　　　　　　　　　　　　"</f>
        <v>１８９０　　　　　　　　　　　　　　　　</v>
      </c>
      <c r="L3005" s="1"/>
    </row>
    <row r="3006" spans="1:12" ht="18" customHeight="1" x14ac:dyDescent="0.15">
      <c r="A3006" s="11">
        <v>3126</v>
      </c>
      <c r="B3006" s="11" t="s">
        <v>53</v>
      </c>
      <c r="C3006" s="11" t="s">
        <v>165</v>
      </c>
      <c r="D3006" s="11">
        <v>1</v>
      </c>
      <c r="E3006" s="11" t="s">
        <v>4</v>
      </c>
      <c r="F3006" s="12">
        <v>29900</v>
      </c>
      <c r="G3006" s="12">
        <v>29900</v>
      </c>
      <c r="H3006" s="11" t="str">
        <f t="shared" si="96"/>
        <v>平成6年9月14日</v>
      </c>
      <c r="I3006" s="22">
        <f t="shared" si="97"/>
        <v>34591</v>
      </c>
      <c r="J3006" s="1" t="str">
        <f>"00742649"</f>
        <v>00742649</v>
      </c>
      <c r="K3006" s="1" t="str">
        <f>"１８９１　　　　　　　　　　　　　　　　"</f>
        <v>１８９１　　　　　　　　　　　　　　　　</v>
      </c>
      <c r="L3006" s="1"/>
    </row>
    <row r="3007" spans="1:12" ht="18" customHeight="1" x14ac:dyDescent="0.15">
      <c r="A3007" s="11">
        <v>3127</v>
      </c>
      <c r="B3007" s="11" t="s">
        <v>53</v>
      </c>
      <c r="C3007" s="11" t="s">
        <v>165</v>
      </c>
      <c r="D3007" s="11">
        <v>1</v>
      </c>
      <c r="E3007" s="11" t="s">
        <v>4</v>
      </c>
      <c r="F3007" s="12">
        <v>29900</v>
      </c>
      <c r="G3007" s="12">
        <v>29900</v>
      </c>
      <c r="H3007" s="11" t="str">
        <f t="shared" si="96"/>
        <v>平成6年9月14日</v>
      </c>
      <c r="I3007" s="22">
        <f t="shared" si="97"/>
        <v>34591</v>
      </c>
      <c r="J3007" s="1" t="str">
        <f>"00742651"</f>
        <v>00742651</v>
      </c>
      <c r="K3007" s="1" t="str">
        <f>"１８９２　　　　　　　　　　　　　　　　"</f>
        <v>１８９２　　　　　　　　　　　　　　　　</v>
      </c>
      <c r="L3007" s="1"/>
    </row>
    <row r="3008" spans="1:12" ht="18" customHeight="1" x14ac:dyDescent="0.15">
      <c r="A3008" s="11">
        <v>3128</v>
      </c>
      <c r="B3008" s="11" t="s">
        <v>53</v>
      </c>
      <c r="C3008" s="11" t="s">
        <v>165</v>
      </c>
      <c r="D3008" s="11">
        <v>1</v>
      </c>
      <c r="E3008" s="11" t="s">
        <v>4</v>
      </c>
      <c r="F3008" s="12">
        <v>29900</v>
      </c>
      <c r="G3008" s="12">
        <v>29900</v>
      </c>
      <c r="H3008" s="11" t="str">
        <f t="shared" si="96"/>
        <v>平成6年9月14日</v>
      </c>
      <c r="I3008" s="22">
        <f t="shared" si="97"/>
        <v>34591</v>
      </c>
      <c r="J3008" s="1" t="str">
        <f>"00742653"</f>
        <v>00742653</v>
      </c>
      <c r="K3008" s="1" t="str">
        <f>"１８９３　　　　　　　　　　　　　　　　"</f>
        <v>１８９３　　　　　　　　　　　　　　　　</v>
      </c>
      <c r="L3008" s="1"/>
    </row>
    <row r="3009" spans="1:12" ht="18" customHeight="1" x14ac:dyDescent="0.15">
      <c r="A3009" s="11">
        <v>3129</v>
      </c>
      <c r="B3009" s="11" t="s">
        <v>53</v>
      </c>
      <c r="C3009" s="11" t="s">
        <v>165</v>
      </c>
      <c r="D3009" s="11">
        <v>1</v>
      </c>
      <c r="E3009" s="11" t="s">
        <v>4</v>
      </c>
      <c r="F3009" s="12">
        <v>29900</v>
      </c>
      <c r="G3009" s="12">
        <v>29900</v>
      </c>
      <c r="H3009" s="11" t="str">
        <f t="shared" si="96"/>
        <v>平成6年9月14日</v>
      </c>
      <c r="I3009" s="22">
        <f t="shared" si="97"/>
        <v>34591</v>
      </c>
      <c r="J3009" s="1" t="str">
        <f>"00742655"</f>
        <v>00742655</v>
      </c>
      <c r="K3009" s="1" t="str">
        <f>"１８９４　　　　　　　　　　　　　　　　"</f>
        <v>１８９４　　　　　　　　　　　　　　　　</v>
      </c>
      <c r="L3009" s="1"/>
    </row>
    <row r="3010" spans="1:12" ht="18" customHeight="1" x14ac:dyDescent="0.15">
      <c r="A3010" s="11">
        <v>3130</v>
      </c>
      <c r="B3010" s="11" t="s">
        <v>53</v>
      </c>
      <c r="C3010" s="11" t="s">
        <v>165</v>
      </c>
      <c r="D3010" s="11">
        <v>1</v>
      </c>
      <c r="E3010" s="11" t="s">
        <v>4</v>
      </c>
      <c r="F3010" s="12">
        <v>29900</v>
      </c>
      <c r="G3010" s="12">
        <v>29900</v>
      </c>
      <c r="H3010" s="11" t="str">
        <f t="shared" si="96"/>
        <v>平成6年9月14日</v>
      </c>
      <c r="I3010" s="22">
        <f t="shared" si="97"/>
        <v>34591</v>
      </c>
      <c r="J3010" s="1" t="str">
        <f>"00742657"</f>
        <v>00742657</v>
      </c>
      <c r="K3010" s="1" t="str">
        <f>"１８９５　　　　　　　　　　　　　　　　"</f>
        <v>１８９５　　　　　　　　　　　　　　　　</v>
      </c>
      <c r="L3010" s="1"/>
    </row>
    <row r="3011" spans="1:12" ht="18" customHeight="1" x14ac:dyDescent="0.15">
      <c r="A3011" s="11">
        <v>3131</v>
      </c>
      <c r="B3011" s="11" t="s">
        <v>53</v>
      </c>
      <c r="C3011" s="11" t="s">
        <v>165</v>
      </c>
      <c r="D3011" s="11">
        <v>1</v>
      </c>
      <c r="E3011" s="11" t="s">
        <v>4</v>
      </c>
      <c r="F3011" s="12">
        <v>29900</v>
      </c>
      <c r="G3011" s="12">
        <v>29900</v>
      </c>
      <c r="H3011" s="11" t="str">
        <f t="shared" si="96"/>
        <v>平成6年9月14日</v>
      </c>
      <c r="I3011" s="22">
        <f t="shared" si="97"/>
        <v>34591</v>
      </c>
      <c r="J3011" s="1" t="str">
        <f>"00742659"</f>
        <v>00742659</v>
      </c>
      <c r="K3011" s="1" t="str">
        <f>"１８９６　　　　　　　　　　　　　　　　"</f>
        <v>１８９６　　　　　　　　　　　　　　　　</v>
      </c>
      <c r="L3011" s="1"/>
    </row>
    <row r="3012" spans="1:12" ht="18" customHeight="1" x14ac:dyDescent="0.15">
      <c r="A3012" s="11">
        <v>3132</v>
      </c>
      <c r="B3012" s="11" t="s">
        <v>53</v>
      </c>
      <c r="C3012" s="11" t="s">
        <v>165</v>
      </c>
      <c r="D3012" s="11">
        <v>1</v>
      </c>
      <c r="E3012" s="11" t="s">
        <v>4</v>
      </c>
      <c r="F3012" s="12">
        <v>29900</v>
      </c>
      <c r="G3012" s="12">
        <v>29900</v>
      </c>
      <c r="H3012" s="11" t="str">
        <f t="shared" si="96"/>
        <v>平成6年9月14日</v>
      </c>
      <c r="I3012" s="22">
        <f t="shared" si="97"/>
        <v>34591</v>
      </c>
      <c r="J3012" s="1" t="str">
        <f>"00742661"</f>
        <v>00742661</v>
      </c>
      <c r="K3012" s="1" t="str">
        <f>"１８９７　　　　　　　　　　　　　　　　"</f>
        <v>１８９７　　　　　　　　　　　　　　　　</v>
      </c>
      <c r="L3012" s="1"/>
    </row>
    <row r="3013" spans="1:12" ht="18" customHeight="1" x14ac:dyDescent="0.15">
      <c r="A3013" s="11">
        <v>3133</v>
      </c>
      <c r="B3013" s="11" t="s">
        <v>53</v>
      </c>
      <c r="C3013" s="11" t="s">
        <v>165</v>
      </c>
      <c r="D3013" s="11">
        <v>1</v>
      </c>
      <c r="E3013" s="11" t="s">
        <v>4</v>
      </c>
      <c r="F3013" s="12">
        <v>29900</v>
      </c>
      <c r="G3013" s="12">
        <v>29900</v>
      </c>
      <c r="H3013" s="11" t="str">
        <f t="shared" si="96"/>
        <v>平成6年9月14日</v>
      </c>
      <c r="I3013" s="22">
        <f t="shared" si="97"/>
        <v>34591</v>
      </c>
      <c r="J3013" s="1" t="str">
        <f>"00742663"</f>
        <v>00742663</v>
      </c>
      <c r="K3013" s="1" t="str">
        <f>"１８９８　　　　　　　　　　　　　　　　"</f>
        <v>１８９８　　　　　　　　　　　　　　　　</v>
      </c>
      <c r="L3013" s="1"/>
    </row>
    <row r="3014" spans="1:12" ht="18" customHeight="1" x14ac:dyDescent="0.15">
      <c r="A3014" s="11">
        <v>3134</v>
      </c>
      <c r="B3014" s="11" t="s">
        <v>53</v>
      </c>
      <c r="C3014" s="11" t="s">
        <v>165</v>
      </c>
      <c r="D3014" s="11">
        <v>1</v>
      </c>
      <c r="E3014" s="11" t="s">
        <v>4</v>
      </c>
      <c r="F3014" s="12">
        <v>29900</v>
      </c>
      <c r="G3014" s="12">
        <v>29900</v>
      </c>
      <c r="H3014" s="11" t="str">
        <f t="shared" si="96"/>
        <v>平成6年9月14日</v>
      </c>
      <c r="I3014" s="22">
        <f t="shared" si="97"/>
        <v>34591</v>
      </c>
      <c r="J3014" s="1" t="str">
        <f>"00742665"</f>
        <v>00742665</v>
      </c>
      <c r="K3014" s="1" t="str">
        <f>"１８９９　　　　　　　　　　　　　　　　"</f>
        <v>１８９９　　　　　　　　　　　　　　　　</v>
      </c>
      <c r="L3014" s="1"/>
    </row>
    <row r="3015" spans="1:12" ht="18" customHeight="1" x14ac:dyDescent="0.15">
      <c r="A3015" s="11">
        <v>3135</v>
      </c>
      <c r="B3015" s="11" t="s">
        <v>53</v>
      </c>
      <c r="C3015" s="11" t="s">
        <v>165</v>
      </c>
      <c r="D3015" s="11">
        <v>1</v>
      </c>
      <c r="E3015" s="11" t="s">
        <v>4</v>
      </c>
      <c r="F3015" s="12">
        <v>29900</v>
      </c>
      <c r="G3015" s="12">
        <v>29900</v>
      </c>
      <c r="H3015" s="11" t="str">
        <f t="shared" si="96"/>
        <v>平成6年9月14日</v>
      </c>
      <c r="I3015" s="22">
        <f t="shared" si="97"/>
        <v>34591</v>
      </c>
      <c r="J3015" s="1" t="str">
        <f>"00742667"</f>
        <v>00742667</v>
      </c>
      <c r="K3015" s="1" t="str">
        <f>"１９００　　　　　　　　　　　　　　　　"</f>
        <v>１９００　　　　　　　　　　　　　　　　</v>
      </c>
      <c r="L3015" s="1"/>
    </row>
    <row r="3016" spans="1:12" ht="18" customHeight="1" x14ac:dyDescent="0.15">
      <c r="A3016" s="11">
        <v>3136</v>
      </c>
      <c r="B3016" s="11" t="s">
        <v>53</v>
      </c>
      <c r="C3016" s="11" t="s">
        <v>165</v>
      </c>
      <c r="D3016" s="11">
        <v>1</v>
      </c>
      <c r="E3016" s="11" t="s">
        <v>4</v>
      </c>
      <c r="F3016" s="12">
        <v>29900</v>
      </c>
      <c r="G3016" s="12">
        <v>29900</v>
      </c>
      <c r="H3016" s="11" t="str">
        <f t="shared" si="96"/>
        <v>平成6年9月14日</v>
      </c>
      <c r="I3016" s="22">
        <f t="shared" si="97"/>
        <v>34591</v>
      </c>
      <c r="J3016" s="1" t="str">
        <f>"00742669"</f>
        <v>00742669</v>
      </c>
      <c r="K3016" s="1" t="str">
        <f>"１９０１　　　　　　　　　　　　　　　　"</f>
        <v>１９０１　　　　　　　　　　　　　　　　</v>
      </c>
      <c r="L3016" s="1"/>
    </row>
    <row r="3017" spans="1:12" ht="18" customHeight="1" x14ac:dyDescent="0.15">
      <c r="A3017" s="11">
        <v>3137</v>
      </c>
      <c r="B3017" s="11" t="s">
        <v>53</v>
      </c>
      <c r="C3017" s="11" t="s">
        <v>165</v>
      </c>
      <c r="D3017" s="11">
        <v>1</v>
      </c>
      <c r="E3017" s="11" t="s">
        <v>4</v>
      </c>
      <c r="F3017" s="12">
        <v>29900</v>
      </c>
      <c r="G3017" s="12">
        <v>29900</v>
      </c>
      <c r="H3017" s="11" t="str">
        <f t="shared" si="96"/>
        <v>平成6年9月14日</v>
      </c>
      <c r="I3017" s="22">
        <f t="shared" si="97"/>
        <v>34591</v>
      </c>
      <c r="J3017" s="1" t="str">
        <f>"00742671"</f>
        <v>00742671</v>
      </c>
      <c r="K3017" s="1" t="str">
        <f>"１９０２　　　　　　　　　　　　　　　　"</f>
        <v>１９０２　　　　　　　　　　　　　　　　</v>
      </c>
      <c r="L3017" s="1"/>
    </row>
    <row r="3018" spans="1:12" ht="18" customHeight="1" x14ac:dyDescent="0.15">
      <c r="A3018" s="11">
        <v>3138</v>
      </c>
      <c r="B3018" s="11" t="s">
        <v>53</v>
      </c>
      <c r="C3018" s="11" t="s">
        <v>165</v>
      </c>
      <c r="D3018" s="11">
        <v>1</v>
      </c>
      <c r="E3018" s="11" t="s">
        <v>4</v>
      </c>
      <c r="F3018" s="12">
        <v>29900</v>
      </c>
      <c r="G3018" s="12">
        <v>29900</v>
      </c>
      <c r="H3018" s="11" t="str">
        <f t="shared" si="96"/>
        <v>平成6年9月14日</v>
      </c>
      <c r="I3018" s="22">
        <f t="shared" si="97"/>
        <v>34591</v>
      </c>
      <c r="J3018" s="1" t="str">
        <f>"00742673"</f>
        <v>00742673</v>
      </c>
      <c r="K3018" s="1" t="str">
        <f>"１９０３　　　　　　　　　　　　　　　　"</f>
        <v>１９０３　　　　　　　　　　　　　　　　</v>
      </c>
      <c r="L3018" s="1"/>
    </row>
    <row r="3019" spans="1:12" ht="18" customHeight="1" x14ac:dyDescent="0.15">
      <c r="A3019" s="11">
        <v>3139</v>
      </c>
      <c r="B3019" s="11" t="s">
        <v>53</v>
      </c>
      <c r="C3019" s="11" t="s">
        <v>165</v>
      </c>
      <c r="D3019" s="11">
        <v>1</v>
      </c>
      <c r="E3019" s="11" t="s">
        <v>4</v>
      </c>
      <c r="F3019" s="12">
        <v>29900</v>
      </c>
      <c r="G3019" s="12">
        <v>29900</v>
      </c>
      <c r="H3019" s="11" t="str">
        <f t="shared" si="96"/>
        <v>平成6年9月14日</v>
      </c>
      <c r="I3019" s="22">
        <f t="shared" si="97"/>
        <v>34591</v>
      </c>
      <c r="J3019" s="1" t="str">
        <f>"00742675"</f>
        <v>00742675</v>
      </c>
      <c r="K3019" s="1" t="str">
        <f>"１９０４　　　　　　　　　　　　　　　　"</f>
        <v>１９０４　　　　　　　　　　　　　　　　</v>
      </c>
      <c r="L3019" s="1"/>
    </row>
    <row r="3020" spans="1:12" ht="18" customHeight="1" x14ac:dyDescent="0.15">
      <c r="A3020" s="11">
        <v>3140</v>
      </c>
      <c r="B3020" s="11" t="s">
        <v>53</v>
      </c>
      <c r="C3020" s="11" t="s">
        <v>165</v>
      </c>
      <c r="D3020" s="11">
        <v>1</v>
      </c>
      <c r="E3020" s="11" t="s">
        <v>4</v>
      </c>
      <c r="F3020" s="12">
        <v>29900</v>
      </c>
      <c r="G3020" s="12">
        <v>29900</v>
      </c>
      <c r="H3020" s="11" t="str">
        <f t="shared" si="96"/>
        <v>平成6年9月14日</v>
      </c>
      <c r="I3020" s="22">
        <f t="shared" si="97"/>
        <v>34591</v>
      </c>
      <c r="J3020" s="1" t="str">
        <f>"00742677"</f>
        <v>00742677</v>
      </c>
      <c r="K3020" s="1" t="str">
        <f>"１９０５　　　　　　　　　　　　　　　　"</f>
        <v>１９０５　　　　　　　　　　　　　　　　</v>
      </c>
      <c r="L3020" s="1"/>
    </row>
    <row r="3021" spans="1:12" ht="18" customHeight="1" x14ac:dyDescent="0.15">
      <c r="A3021" s="11">
        <v>3159</v>
      </c>
      <c r="B3021" s="11" t="s">
        <v>70</v>
      </c>
      <c r="C3021" s="11" t="s">
        <v>169</v>
      </c>
      <c r="D3021" s="11">
        <v>1</v>
      </c>
      <c r="E3021" s="11" t="s">
        <v>4</v>
      </c>
      <c r="F3021" s="12">
        <v>260000</v>
      </c>
      <c r="G3021" s="12">
        <v>260000</v>
      </c>
      <c r="H3021" s="11" t="str">
        <f t="shared" si="96"/>
        <v>平成6年9月14日</v>
      </c>
      <c r="I3021" s="22">
        <f t="shared" si="97"/>
        <v>34591</v>
      </c>
      <c r="J3021" s="1" t="str">
        <f>"00742717"</f>
        <v>00742717</v>
      </c>
      <c r="K3021" s="1" t="str">
        <f>"３２２　　　　　　　　　　　　　　　　　"</f>
        <v>３２２　　　　　　　　　　　　　　　　　</v>
      </c>
      <c r="L3021" s="1"/>
    </row>
    <row r="3022" spans="1:12" ht="18" customHeight="1" x14ac:dyDescent="0.15">
      <c r="A3022" s="11">
        <v>3160</v>
      </c>
      <c r="B3022" s="11" t="s">
        <v>70</v>
      </c>
      <c r="C3022" s="11" t="s">
        <v>169</v>
      </c>
      <c r="D3022" s="11">
        <v>1</v>
      </c>
      <c r="E3022" s="11" t="s">
        <v>4</v>
      </c>
      <c r="F3022" s="12">
        <v>260000</v>
      </c>
      <c r="G3022" s="12">
        <v>260000</v>
      </c>
      <c r="H3022" s="11" t="str">
        <f t="shared" si="96"/>
        <v>平成6年9月14日</v>
      </c>
      <c r="I3022" s="22">
        <f t="shared" si="97"/>
        <v>34591</v>
      </c>
      <c r="J3022" s="1" t="str">
        <f>"00742719"</f>
        <v>00742719</v>
      </c>
      <c r="K3022" s="1" t="str">
        <f>"３２３　　　　　　　　　　　　　　　　　"</f>
        <v>３２３　　　　　　　　　　　　　　　　　</v>
      </c>
      <c r="L3022" s="1"/>
    </row>
    <row r="3023" spans="1:12" ht="18" customHeight="1" x14ac:dyDescent="0.15">
      <c r="A3023" s="11">
        <v>3161</v>
      </c>
      <c r="B3023" s="11" t="s">
        <v>70</v>
      </c>
      <c r="C3023" s="11" t="s">
        <v>169</v>
      </c>
      <c r="D3023" s="11">
        <v>1</v>
      </c>
      <c r="E3023" s="11" t="s">
        <v>4</v>
      </c>
      <c r="F3023" s="12">
        <v>260000</v>
      </c>
      <c r="G3023" s="12">
        <v>260000</v>
      </c>
      <c r="H3023" s="11" t="str">
        <f t="shared" ref="H3023:H3086" si="98">"平成6年9月14日"</f>
        <v>平成6年9月14日</v>
      </c>
      <c r="I3023" s="22">
        <f t="shared" si="97"/>
        <v>34591</v>
      </c>
      <c r="J3023" s="1" t="str">
        <f>"00742721"</f>
        <v>00742721</v>
      </c>
      <c r="K3023" s="1" t="str">
        <f>"３２４　　　　　　　　　　　　　　　　　"</f>
        <v>３２４　　　　　　　　　　　　　　　　　</v>
      </c>
      <c r="L3023" s="1"/>
    </row>
    <row r="3024" spans="1:12" ht="18" customHeight="1" x14ac:dyDescent="0.15">
      <c r="A3024" s="11">
        <v>3162</v>
      </c>
      <c r="B3024" s="11" t="s">
        <v>70</v>
      </c>
      <c r="C3024" s="11" t="s">
        <v>169</v>
      </c>
      <c r="D3024" s="11">
        <v>1</v>
      </c>
      <c r="E3024" s="11" t="s">
        <v>4</v>
      </c>
      <c r="F3024" s="12">
        <v>260000</v>
      </c>
      <c r="G3024" s="12">
        <v>260000</v>
      </c>
      <c r="H3024" s="11" t="str">
        <f t="shared" si="98"/>
        <v>平成6年9月14日</v>
      </c>
      <c r="I3024" s="22">
        <f t="shared" si="97"/>
        <v>34591</v>
      </c>
      <c r="J3024" s="1" t="str">
        <f>"00742723"</f>
        <v>00742723</v>
      </c>
      <c r="K3024" s="1" t="str">
        <f>"３２５　　　　　　　　　　　　　　　　　"</f>
        <v>３２５　　　　　　　　　　　　　　　　　</v>
      </c>
      <c r="L3024" s="1"/>
    </row>
    <row r="3025" spans="1:12" ht="18" customHeight="1" x14ac:dyDescent="0.15">
      <c r="A3025" s="11">
        <v>3163</v>
      </c>
      <c r="B3025" s="11" t="s">
        <v>70</v>
      </c>
      <c r="C3025" s="11" t="s">
        <v>169</v>
      </c>
      <c r="D3025" s="11">
        <v>1</v>
      </c>
      <c r="E3025" s="11" t="s">
        <v>4</v>
      </c>
      <c r="F3025" s="12">
        <v>260000</v>
      </c>
      <c r="G3025" s="12">
        <v>260000</v>
      </c>
      <c r="H3025" s="11" t="str">
        <f t="shared" si="98"/>
        <v>平成6年9月14日</v>
      </c>
      <c r="I3025" s="22">
        <f t="shared" si="97"/>
        <v>34591</v>
      </c>
      <c r="J3025" s="1" t="str">
        <f>"00742725"</f>
        <v>00742725</v>
      </c>
      <c r="K3025" s="1" t="str">
        <f>"３２６　　　　　　　　　　　　　　　　　"</f>
        <v>３２６　　　　　　　　　　　　　　　　　</v>
      </c>
      <c r="L3025" s="1"/>
    </row>
    <row r="3026" spans="1:12" ht="18" customHeight="1" x14ac:dyDescent="0.15">
      <c r="A3026" s="11">
        <v>3164</v>
      </c>
      <c r="B3026" s="11" t="s">
        <v>70</v>
      </c>
      <c r="C3026" s="11" t="s">
        <v>169</v>
      </c>
      <c r="D3026" s="11">
        <v>1</v>
      </c>
      <c r="E3026" s="11" t="s">
        <v>4</v>
      </c>
      <c r="F3026" s="12">
        <v>260000</v>
      </c>
      <c r="G3026" s="12">
        <v>260000</v>
      </c>
      <c r="H3026" s="11" t="str">
        <f t="shared" si="98"/>
        <v>平成6年9月14日</v>
      </c>
      <c r="I3026" s="22">
        <f t="shared" ref="I3026:I3089" si="99">DATEVALUE(H3026)</f>
        <v>34591</v>
      </c>
      <c r="J3026" s="1" t="str">
        <f>"00742727"</f>
        <v>00742727</v>
      </c>
      <c r="K3026" s="1" t="str">
        <f>"３２７　　　　　　　　　　　　　　　　　"</f>
        <v>３２７　　　　　　　　　　　　　　　　　</v>
      </c>
      <c r="L3026" s="1"/>
    </row>
    <row r="3027" spans="1:12" ht="18" customHeight="1" x14ac:dyDescent="0.15">
      <c r="A3027" s="11">
        <v>3165</v>
      </c>
      <c r="B3027" s="11" t="s">
        <v>70</v>
      </c>
      <c r="C3027" s="11" t="s">
        <v>169</v>
      </c>
      <c r="D3027" s="11">
        <v>1</v>
      </c>
      <c r="E3027" s="11" t="s">
        <v>4</v>
      </c>
      <c r="F3027" s="12">
        <v>260000</v>
      </c>
      <c r="G3027" s="12">
        <v>260000</v>
      </c>
      <c r="H3027" s="11" t="str">
        <f t="shared" si="98"/>
        <v>平成6年9月14日</v>
      </c>
      <c r="I3027" s="22">
        <f t="shared" si="99"/>
        <v>34591</v>
      </c>
      <c r="J3027" s="1" t="str">
        <f>"00742729"</f>
        <v>00742729</v>
      </c>
      <c r="K3027" s="1" t="str">
        <f>"３２８　　　　　　　　　　　　　　　　　"</f>
        <v>３２８　　　　　　　　　　　　　　　　　</v>
      </c>
      <c r="L3027" s="1"/>
    </row>
    <row r="3028" spans="1:12" ht="18" customHeight="1" x14ac:dyDescent="0.15">
      <c r="A3028" s="11">
        <v>3166</v>
      </c>
      <c r="B3028" s="11" t="s">
        <v>70</v>
      </c>
      <c r="C3028" s="11" t="s">
        <v>169</v>
      </c>
      <c r="D3028" s="11">
        <v>1</v>
      </c>
      <c r="E3028" s="11" t="s">
        <v>4</v>
      </c>
      <c r="F3028" s="12">
        <v>260000</v>
      </c>
      <c r="G3028" s="12">
        <v>260000</v>
      </c>
      <c r="H3028" s="11" t="str">
        <f t="shared" si="98"/>
        <v>平成6年9月14日</v>
      </c>
      <c r="I3028" s="22">
        <f t="shared" si="99"/>
        <v>34591</v>
      </c>
      <c r="J3028" s="1" t="str">
        <f>"00742731"</f>
        <v>00742731</v>
      </c>
      <c r="K3028" s="1" t="str">
        <f>"３２９　　　　　　　　　　　　　　　　　"</f>
        <v>３２９　　　　　　　　　　　　　　　　　</v>
      </c>
      <c r="L3028" s="1"/>
    </row>
    <row r="3029" spans="1:12" ht="18" customHeight="1" x14ac:dyDescent="0.15">
      <c r="A3029" s="11">
        <v>3167</v>
      </c>
      <c r="B3029" s="11" t="s">
        <v>70</v>
      </c>
      <c r="C3029" s="11" t="s">
        <v>169</v>
      </c>
      <c r="D3029" s="11">
        <v>1</v>
      </c>
      <c r="E3029" s="11" t="s">
        <v>4</v>
      </c>
      <c r="F3029" s="12">
        <v>260000</v>
      </c>
      <c r="G3029" s="12">
        <v>260000</v>
      </c>
      <c r="H3029" s="11" t="str">
        <f t="shared" si="98"/>
        <v>平成6年9月14日</v>
      </c>
      <c r="I3029" s="22">
        <f t="shared" si="99"/>
        <v>34591</v>
      </c>
      <c r="J3029" s="1" t="str">
        <f>"00742733"</f>
        <v>00742733</v>
      </c>
      <c r="K3029" s="1" t="str">
        <f>"３３０　　　　　　　　　　　　　　　　　"</f>
        <v>３３０　　　　　　　　　　　　　　　　　</v>
      </c>
      <c r="L3029" s="1"/>
    </row>
    <row r="3030" spans="1:12" ht="18" customHeight="1" x14ac:dyDescent="0.15">
      <c r="A3030" s="11">
        <v>3168</v>
      </c>
      <c r="B3030" s="11" t="s">
        <v>70</v>
      </c>
      <c r="C3030" s="11" t="s">
        <v>169</v>
      </c>
      <c r="D3030" s="11">
        <v>1</v>
      </c>
      <c r="E3030" s="11" t="s">
        <v>4</v>
      </c>
      <c r="F3030" s="12">
        <v>260000</v>
      </c>
      <c r="G3030" s="12">
        <v>260000</v>
      </c>
      <c r="H3030" s="11" t="str">
        <f t="shared" si="98"/>
        <v>平成6年9月14日</v>
      </c>
      <c r="I3030" s="22">
        <f t="shared" si="99"/>
        <v>34591</v>
      </c>
      <c r="J3030" s="1" t="str">
        <f>"00742735"</f>
        <v>00742735</v>
      </c>
      <c r="K3030" s="1" t="str">
        <f>"３３１　　　　　　　　　　　　　　　　　"</f>
        <v>３３１　　　　　　　　　　　　　　　　　</v>
      </c>
      <c r="L3030" s="1"/>
    </row>
    <row r="3031" spans="1:12" ht="18" customHeight="1" x14ac:dyDescent="0.15">
      <c r="A3031" s="11">
        <v>3169</v>
      </c>
      <c r="B3031" s="11" t="s">
        <v>70</v>
      </c>
      <c r="C3031" s="11" t="s">
        <v>169</v>
      </c>
      <c r="D3031" s="11">
        <v>1</v>
      </c>
      <c r="E3031" s="11" t="s">
        <v>4</v>
      </c>
      <c r="F3031" s="12">
        <v>260000</v>
      </c>
      <c r="G3031" s="12">
        <v>260000</v>
      </c>
      <c r="H3031" s="11" t="str">
        <f t="shared" si="98"/>
        <v>平成6年9月14日</v>
      </c>
      <c r="I3031" s="22">
        <f t="shared" si="99"/>
        <v>34591</v>
      </c>
      <c r="J3031" s="1" t="str">
        <f>"00742737"</f>
        <v>00742737</v>
      </c>
      <c r="K3031" s="1" t="str">
        <f>"３３２　　　　　　　　　　　　　　　　　"</f>
        <v>３３２　　　　　　　　　　　　　　　　　</v>
      </c>
      <c r="L3031" s="1"/>
    </row>
    <row r="3032" spans="1:12" ht="18" customHeight="1" x14ac:dyDescent="0.15">
      <c r="A3032" s="11">
        <v>3170</v>
      </c>
      <c r="B3032" s="11" t="s">
        <v>70</v>
      </c>
      <c r="C3032" s="11" t="s">
        <v>169</v>
      </c>
      <c r="D3032" s="11">
        <v>1</v>
      </c>
      <c r="E3032" s="11" t="s">
        <v>4</v>
      </c>
      <c r="F3032" s="12">
        <v>260000</v>
      </c>
      <c r="G3032" s="12">
        <v>260000</v>
      </c>
      <c r="H3032" s="11" t="str">
        <f t="shared" si="98"/>
        <v>平成6年9月14日</v>
      </c>
      <c r="I3032" s="22">
        <f t="shared" si="99"/>
        <v>34591</v>
      </c>
      <c r="J3032" s="1" t="str">
        <f>"00742739"</f>
        <v>00742739</v>
      </c>
      <c r="K3032" s="1" t="str">
        <f>"３３３　　　　　　　　　　　　　　　　　"</f>
        <v>３３３　　　　　　　　　　　　　　　　　</v>
      </c>
      <c r="L3032" s="1"/>
    </row>
    <row r="3033" spans="1:12" ht="18" customHeight="1" x14ac:dyDescent="0.15">
      <c r="A3033" s="11">
        <v>3171</v>
      </c>
      <c r="B3033" s="11" t="s">
        <v>70</v>
      </c>
      <c r="C3033" s="11" t="s">
        <v>169</v>
      </c>
      <c r="D3033" s="11">
        <v>1</v>
      </c>
      <c r="E3033" s="11" t="s">
        <v>4</v>
      </c>
      <c r="F3033" s="12">
        <v>260000</v>
      </c>
      <c r="G3033" s="12">
        <v>260000</v>
      </c>
      <c r="H3033" s="11" t="str">
        <f t="shared" si="98"/>
        <v>平成6年9月14日</v>
      </c>
      <c r="I3033" s="22">
        <f t="shared" si="99"/>
        <v>34591</v>
      </c>
      <c r="J3033" s="1" t="str">
        <f>"00742741"</f>
        <v>00742741</v>
      </c>
      <c r="K3033" s="1" t="str">
        <f>"３３４　　　　　　　　　　　　　　　　　"</f>
        <v>３３４　　　　　　　　　　　　　　　　　</v>
      </c>
      <c r="L3033" s="1"/>
    </row>
    <row r="3034" spans="1:12" ht="18" customHeight="1" x14ac:dyDescent="0.15">
      <c r="A3034" s="11">
        <v>3172</v>
      </c>
      <c r="B3034" s="11" t="s">
        <v>70</v>
      </c>
      <c r="C3034" s="11" t="s">
        <v>169</v>
      </c>
      <c r="D3034" s="11">
        <v>1</v>
      </c>
      <c r="E3034" s="11" t="s">
        <v>4</v>
      </c>
      <c r="F3034" s="12">
        <v>260000</v>
      </c>
      <c r="G3034" s="12">
        <v>260000</v>
      </c>
      <c r="H3034" s="11" t="str">
        <f t="shared" si="98"/>
        <v>平成6年9月14日</v>
      </c>
      <c r="I3034" s="22">
        <f t="shared" si="99"/>
        <v>34591</v>
      </c>
      <c r="J3034" s="1" t="str">
        <f>"00742743"</f>
        <v>00742743</v>
      </c>
      <c r="K3034" s="1" t="str">
        <f>"３３５　　　　　　　　　　　　　　　　　"</f>
        <v>３３５　　　　　　　　　　　　　　　　　</v>
      </c>
      <c r="L3034" s="1"/>
    </row>
    <row r="3035" spans="1:12" ht="18" customHeight="1" x14ac:dyDescent="0.15">
      <c r="A3035" s="11">
        <v>3173</v>
      </c>
      <c r="B3035" s="11" t="s">
        <v>70</v>
      </c>
      <c r="C3035" s="11" t="s">
        <v>169</v>
      </c>
      <c r="D3035" s="11">
        <v>1</v>
      </c>
      <c r="E3035" s="11" t="s">
        <v>4</v>
      </c>
      <c r="F3035" s="12">
        <v>260000</v>
      </c>
      <c r="G3035" s="12">
        <v>260000</v>
      </c>
      <c r="H3035" s="11" t="str">
        <f t="shared" si="98"/>
        <v>平成6年9月14日</v>
      </c>
      <c r="I3035" s="22">
        <f t="shared" si="99"/>
        <v>34591</v>
      </c>
      <c r="J3035" s="1" t="str">
        <f>"00742745"</f>
        <v>00742745</v>
      </c>
      <c r="K3035" s="1" t="str">
        <f>"３３６　　　　　　　　　　　　　　　　　"</f>
        <v>３３６　　　　　　　　　　　　　　　　　</v>
      </c>
      <c r="L3035" s="1"/>
    </row>
    <row r="3036" spans="1:12" ht="18" customHeight="1" x14ac:dyDescent="0.15">
      <c r="A3036" s="11">
        <v>3174</v>
      </c>
      <c r="B3036" s="11" t="s">
        <v>70</v>
      </c>
      <c r="C3036" s="11" t="s">
        <v>169</v>
      </c>
      <c r="D3036" s="11">
        <v>1</v>
      </c>
      <c r="E3036" s="11" t="s">
        <v>4</v>
      </c>
      <c r="F3036" s="12">
        <v>260000</v>
      </c>
      <c r="G3036" s="12">
        <v>260000</v>
      </c>
      <c r="H3036" s="11" t="str">
        <f t="shared" si="98"/>
        <v>平成6年9月14日</v>
      </c>
      <c r="I3036" s="22">
        <f t="shared" si="99"/>
        <v>34591</v>
      </c>
      <c r="J3036" s="1" t="str">
        <f>"00742747"</f>
        <v>00742747</v>
      </c>
      <c r="K3036" s="1" t="str">
        <f>"３３７　　　　　　　　　　　　　　　　　"</f>
        <v>３３７　　　　　　　　　　　　　　　　　</v>
      </c>
      <c r="L3036" s="1"/>
    </row>
    <row r="3037" spans="1:12" ht="18" customHeight="1" x14ac:dyDescent="0.15">
      <c r="A3037" s="11">
        <v>3175</v>
      </c>
      <c r="B3037" s="11" t="s">
        <v>70</v>
      </c>
      <c r="C3037" s="11" t="s">
        <v>169</v>
      </c>
      <c r="D3037" s="11">
        <v>1</v>
      </c>
      <c r="E3037" s="11" t="s">
        <v>4</v>
      </c>
      <c r="F3037" s="12">
        <v>260000</v>
      </c>
      <c r="G3037" s="12">
        <v>260000</v>
      </c>
      <c r="H3037" s="11" t="str">
        <f t="shared" si="98"/>
        <v>平成6年9月14日</v>
      </c>
      <c r="I3037" s="22">
        <f t="shared" si="99"/>
        <v>34591</v>
      </c>
      <c r="J3037" s="1" t="str">
        <f>"00742749"</f>
        <v>00742749</v>
      </c>
      <c r="K3037" s="1" t="str">
        <f>"３３８　　　　　　　　　　　　　　　　　"</f>
        <v>３３８　　　　　　　　　　　　　　　　　</v>
      </c>
      <c r="L3037" s="1"/>
    </row>
    <row r="3038" spans="1:12" ht="18" customHeight="1" x14ac:dyDescent="0.15">
      <c r="A3038" s="11">
        <v>3176</v>
      </c>
      <c r="B3038" s="11" t="s">
        <v>70</v>
      </c>
      <c r="C3038" s="11" t="s">
        <v>169</v>
      </c>
      <c r="D3038" s="11">
        <v>1</v>
      </c>
      <c r="E3038" s="11" t="s">
        <v>4</v>
      </c>
      <c r="F3038" s="12">
        <v>260000</v>
      </c>
      <c r="G3038" s="12">
        <v>260000</v>
      </c>
      <c r="H3038" s="11" t="str">
        <f t="shared" si="98"/>
        <v>平成6年9月14日</v>
      </c>
      <c r="I3038" s="22">
        <f t="shared" si="99"/>
        <v>34591</v>
      </c>
      <c r="J3038" s="1" t="str">
        <f>"00742751"</f>
        <v>00742751</v>
      </c>
      <c r="K3038" s="1" t="str">
        <f>"３３９　　　　　　　　　　　　　　　　　"</f>
        <v>３３９　　　　　　　　　　　　　　　　　</v>
      </c>
      <c r="L3038" s="1"/>
    </row>
    <row r="3039" spans="1:12" ht="18" customHeight="1" x14ac:dyDescent="0.15">
      <c r="A3039" s="11">
        <v>3177</v>
      </c>
      <c r="B3039" s="11" t="s">
        <v>70</v>
      </c>
      <c r="C3039" s="11" t="s">
        <v>169</v>
      </c>
      <c r="D3039" s="11">
        <v>1</v>
      </c>
      <c r="E3039" s="11" t="s">
        <v>4</v>
      </c>
      <c r="F3039" s="12">
        <v>260000</v>
      </c>
      <c r="G3039" s="12">
        <v>260000</v>
      </c>
      <c r="H3039" s="11" t="str">
        <f t="shared" si="98"/>
        <v>平成6年9月14日</v>
      </c>
      <c r="I3039" s="22">
        <f t="shared" si="99"/>
        <v>34591</v>
      </c>
      <c r="J3039" s="1" t="str">
        <f>"00742753"</f>
        <v>00742753</v>
      </c>
      <c r="K3039" s="1" t="str">
        <f>"３４０　　　　　　　　　　　　　　　　　"</f>
        <v>３４０　　　　　　　　　　　　　　　　　</v>
      </c>
      <c r="L3039" s="1"/>
    </row>
    <row r="3040" spans="1:12" ht="18" customHeight="1" x14ac:dyDescent="0.15">
      <c r="A3040" s="11">
        <v>3178</v>
      </c>
      <c r="B3040" s="11" t="s">
        <v>70</v>
      </c>
      <c r="C3040" s="11" t="s">
        <v>169</v>
      </c>
      <c r="D3040" s="11">
        <v>1</v>
      </c>
      <c r="E3040" s="11" t="s">
        <v>4</v>
      </c>
      <c r="F3040" s="12">
        <v>260000</v>
      </c>
      <c r="G3040" s="12">
        <v>260000</v>
      </c>
      <c r="H3040" s="11" t="str">
        <f t="shared" si="98"/>
        <v>平成6年9月14日</v>
      </c>
      <c r="I3040" s="22">
        <f t="shared" si="99"/>
        <v>34591</v>
      </c>
      <c r="J3040" s="1" t="str">
        <f>"00742755"</f>
        <v>00742755</v>
      </c>
      <c r="K3040" s="1" t="str">
        <f>"３４１　　　　　　　　　　　　　　　　　"</f>
        <v>３４１　　　　　　　　　　　　　　　　　</v>
      </c>
      <c r="L3040" s="1"/>
    </row>
    <row r="3041" spans="1:12" ht="18" customHeight="1" x14ac:dyDescent="0.15">
      <c r="A3041" s="11">
        <v>3179</v>
      </c>
      <c r="B3041" s="11" t="s">
        <v>70</v>
      </c>
      <c r="C3041" s="11" t="s">
        <v>170</v>
      </c>
      <c r="D3041" s="11">
        <v>1</v>
      </c>
      <c r="E3041" s="11" t="s">
        <v>4</v>
      </c>
      <c r="F3041" s="12">
        <v>174000</v>
      </c>
      <c r="G3041" s="12">
        <v>174000</v>
      </c>
      <c r="H3041" s="11" t="str">
        <f t="shared" si="98"/>
        <v>平成6年9月14日</v>
      </c>
      <c r="I3041" s="22">
        <f t="shared" si="99"/>
        <v>34591</v>
      </c>
      <c r="J3041" s="1" t="str">
        <f>"00742757"</f>
        <v>00742757</v>
      </c>
      <c r="K3041" s="1" t="str">
        <f>"３４２　　　　　　　　　　　　　　　　　"</f>
        <v>３４２　　　　　　　　　　　　　　　　　</v>
      </c>
      <c r="L3041" s="1"/>
    </row>
    <row r="3042" spans="1:12" ht="18" customHeight="1" x14ac:dyDescent="0.15">
      <c r="A3042" s="11">
        <v>3180</v>
      </c>
      <c r="B3042" s="11" t="s">
        <v>70</v>
      </c>
      <c r="C3042" s="11" t="s">
        <v>170</v>
      </c>
      <c r="D3042" s="11">
        <v>1</v>
      </c>
      <c r="E3042" s="11" t="s">
        <v>4</v>
      </c>
      <c r="F3042" s="12">
        <v>174000</v>
      </c>
      <c r="G3042" s="12">
        <v>174000</v>
      </c>
      <c r="H3042" s="11" t="str">
        <f t="shared" si="98"/>
        <v>平成6年9月14日</v>
      </c>
      <c r="I3042" s="22">
        <f t="shared" si="99"/>
        <v>34591</v>
      </c>
      <c r="J3042" s="1" t="str">
        <f>"00742759"</f>
        <v>00742759</v>
      </c>
      <c r="K3042" s="1" t="str">
        <f>"３４３　　　　　　　　　　　　　　　　　"</f>
        <v>３４３　　　　　　　　　　　　　　　　　</v>
      </c>
      <c r="L3042" s="1"/>
    </row>
    <row r="3043" spans="1:12" ht="18" customHeight="1" x14ac:dyDescent="0.15">
      <c r="A3043" s="11">
        <v>3181</v>
      </c>
      <c r="B3043" s="11" t="s">
        <v>70</v>
      </c>
      <c r="C3043" s="11" t="s">
        <v>170</v>
      </c>
      <c r="D3043" s="11">
        <v>1</v>
      </c>
      <c r="E3043" s="11" t="s">
        <v>4</v>
      </c>
      <c r="F3043" s="12">
        <v>174000</v>
      </c>
      <c r="G3043" s="12">
        <v>174000</v>
      </c>
      <c r="H3043" s="11" t="str">
        <f t="shared" si="98"/>
        <v>平成6年9月14日</v>
      </c>
      <c r="I3043" s="22">
        <f t="shared" si="99"/>
        <v>34591</v>
      </c>
      <c r="J3043" s="1" t="str">
        <f>"00742761"</f>
        <v>00742761</v>
      </c>
      <c r="K3043" s="1" t="str">
        <f>"３４４　　　　　　　　　　　　　　　　　"</f>
        <v>３４４　　　　　　　　　　　　　　　　　</v>
      </c>
      <c r="L3043" s="1"/>
    </row>
    <row r="3044" spans="1:12" ht="18" customHeight="1" x14ac:dyDescent="0.15">
      <c r="A3044" s="11">
        <v>3182</v>
      </c>
      <c r="B3044" s="11" t="s">
        <v>70</v>
      </c>
      <c r="C3044" s="11" t="s">
        <v>170</v>
      </c>
      <c r="D3044" s="11">
        <v>1</v>
      </c>
      <c r="E3044" s="11" t="s">
        <v>4</v>
      </c>
      <c r="F3044" s="12">
        <v>174000</v>
      </c>
      <c r="G3044" s="12">
        <v>174000</v>
      </c>
      <c r="H3044" s="11" t="str">
        <f t="shared" si="98"/>
        <v>平成6年9月14日</v>
      </c>
      <c r="I3044" s="22">
        <f t="shared" si="99"/>
        <v>34591</v>
      </c>
      <c r="J3044" s="1" t="str">
        <f>"00742763"</f>
        <v>00742763</v>
      </c>
      <c r="K3044" s="1" t="str">
        <f>"３４５　　　　　　　　　　　　　　　　　"</f>
        <v>３４５　　　　　　　　　　　　　　　　　</v>
      </c>
      <c r="L3044" s="1"/>
    </row>
    <row r="3045" spans="1:12" ht="18" customHeight="1" x14ac:dyDescent="0.15">
      <c r="A3045" s="11">
        <v>3183</v>
      </c>
      <c r="B3045" s="11" t="s">
        <v>70</v>
      </c>
      <c r="C3045" s="11" t="s">
        <v>171</v>
      </c>
      <c r="D3045" s="11">
        <v>1</v>
      </c>
      <c r="E3045" s="11" t="s">
        <v>4</v>
      </c>
      <c r="F3045" s="12">
        <v>205800</v>
      </c>
      <c r="G3045" s="12">
        <v>205800</v>
      </c>
      <c r="H3045" s="11" t="str">
        <f t="shared" si="98"/>
        <v>平成6年9月14日</v>
      </c>
      <c r="I3045" s="22">
        <f t="shared" si="99"/>
        <v>34591</v>
      </c>
      <c r="J3045" s="1" t="str">
        <f>"00742765"</f>
        <v>00742765</v>
      </c>
      <c r="K3045" s="1" t="str">
        <f>"３４６　　　　　　　　　　　　　　　　　"</f>
        <v>３４６　　　　　　　　　　　　　　　　　</v>
      </c>
      <c r="L3045" s="1"/>
    </row>
    <row r="3046" spans="1:12" ht="18" customHeight="1" x14ac:dyDescent="0.15">
      <c r="A3046" s="11">
        <v>3184</v>
      </c>
      <c r="B3046" s="11" t="s">
        <v>70</v>
      </c>
      <c r="C3046" s="11" t="s">
        <v>171</v>
      </c>
      <c r="D3046" s="11">
        <v>1</v>
      </c>
      <c r="E3046" s="11" t="s">
        <v>4</v>
      </c>
      <c r="F3046" s="12">
        <v>205800</v>
      </c>
      <c r="G3046" s="12">
        <v>205800</v>
      </c>
      <c r="H3046" s="11" t="str">
        <f t="shared" si="98"/>
        <v>平成6年9月14日</v>
      </c>
      <c r="I3046" s="22">
        <f t="shared" si="99"/>
        <v>34591</v>
      </c>
      <c r="J3046" s="1" t="str">
        <f>"00742767"</f>
        <v>00742767</v>
      </c>
      <c r="K3046" s="1" t="str">
        <f>"３４７　　　　　　　　　　　　　　　　　"</f>
        <v>３４７　　　　　　　　　　　　　　　　　</v>
      </c>
      <c r="L3046" s="1"/>
    </row>
    <row r="3047" spans="1:12" ht="18" customHeight="1" x14ac:dyDescent="0.15">
      <c r="A3047" s="11">
        <v>3185</v>
      </c>
      <c r="B3047" s="11" t="s">
        <v>70</v>
      </c>
      <c r="C3047" s="11" t="s">
        <v>171</v>
      </c>
      <c r="D3047" s="11">
        <v>1</v>
      </c>
      <c r="E3047" s="11" t="s">
        <v>4</v>
      </c>
      <c r="F3047" s="12">
        <v>205800</v>
      </c>
      <c r="G3047" s="12">
        <v>205800</v>
      </c>
      <c r="H3047" s="11" t="str">
        <f t="shared" si="98"/>
        <v>平成6年9月14日</v>
      </c>
      <c r="I3047" s="22">
        <f t="shared" si="99"/>
        <v>34591</v>
      </c>
      <c r="J3047" s="1" t="str">
        <f>"00742769"</f>
        <v>00742769</v>
      </c>
      <c r="K3047" s="1" t="str">
        <f>"３４８　　　　　　　　　　　　　　　　　"</f>
        <v>３４８　　　　　　　　　　　　　　　　　</v>
      </c>
      <c r="L3047" s="1"/>
    </row>
    <row r="3048" spans="1:12" ht="18" customHeight="1" x14ac:dyDescent="0.15">
      <c r="A3048" s="11">
        <v>3186</v>
      </c>
      <c r="B3048" s="11" t="s">
        <v>70</v>
      </c>
      <c r="C3048" s="11" t="s">
        <v>171</v>
      </c>
      <c r="D3048" s="11">
        <v>1</v>
      </c>
      <c r="E3048" s="11" t="s">
        <v>4</v>
      </c>
      <c r="F3048" s="12">
        <v>205800</v>
      </c>
      <c r="G3048" s="12">
        <v>205800</v>
      </c>
      <c r="H3048" s="11" t="str">
        <f t="shared" si="98"/>
        <v>平成6年9月14日</v>
      </c>
      <c r="I3048" s="22">
        <f t="shared" si="99"/>
        <v>34591</v>
      </c>
      <c r="J3048" s="1" t="str">
        <f>"00742771"</f>
        <v>00742771</v>
      </c>
      <c r="K3048" s="1" t="str">
        <f>"３４９　　　　　　　　　　　　　　　　　"</f>
        <v>３４９　　　　　　　　　　　　　　　　　</v>
      </c>
      <c r="L3048" s="1"/>
    </row>
    <row r="3049" spans="1:12" ht="18" customHeight="1" x14ac:dyDescent="0.15">
      <c r="A3049" s="11">
        <v>3187</v>
      </c>
      <c r="B3049" s="11" t="s">
        <v>70</v>
      </c>
      <c r="C3049" s="11" t="s">
        <v>171</v>
      </c>
      <c r="D3049" s="11">
        <v>1</v>
      </c>
      <c r="E3049" s="11" t="s">
        <v>4</v>
      </c>
      <c r="F3049" s="12">
        <v>205800</v>
      </c>
      <c r="G3049" s="12">
        <v>205800</v>
      </c>
      <c r="H3049" s="11" t="str">
        <f t="shared" si="98"/>
        <v>平成6年9月14日</v>
      </c>
      <c r="I3049" s="22">
        <f t="shared" si="99"/>
        <v>34591</v>
      </c>
      <c r="J3049" s="1" t="str">
        <f>"00742773"</f>
        <v>00742773</v>
      </c>
      <c r="K3049" s="1" t="str">
        <f>"３５０　　　　　　　　　　　　　　　　　"</f>
        <v>３５０　　　　　　　　　　　　　　　　　</v>
      </c>
      <c r="L3049" s="1"/>
    </row>
    <row r="3050" spans="1:12" ht="18" customHeight="1" x14ac:dyDescent="0.15">
      <c r="A3050" s="11">
        <v>3188</v>
      </c>
      <c r="B3050" s="11" t="s">
        <v>70</v>
      </c>
      <c r="C3050" s="11" t="s">
        <v>171</v>
      </c>
      <c r="D3050" s="11">
        <v>1</v>
      </c>
      <c r="E3050" s="11" t="s">
        <v>4</v>
      </c>
      <c r="F3050" s="12">
        <v>205800</v>
      </c>
      <c r="G3050" s="12">
        <v>205800</v>
      </c>
      <c r="H3050" s="11" t="str">
        <f t="shared" si="98"/>
        <v>平成6年9月14日</v>
      </c>
      <c r="I3050" s="22">
        <f t="shared" si="99"/>
        <v>34591</v>
      </c>
      <c r="J3050" s="1" t="str">
        <f>"00742775"</f>
        <v>00742775</v>
      </c>
      <c r="K3050" s="1" t="str">
        <f>"３５１　　　　　　　　　　　　　　　　　"</f>
        <v>３５１　　　　　　　　　　　　　　　　　</v>
      </c>
      <c r="L3050" s="1"/>
    </row>
    <row r="3051" spans="1:12" ht="18" customHeight="1" x14ac:dyDescent="0.15">
      <c r="A3051" s="11">
        <v>3189</v>
      </c>
      <c r="B3051" s="11" t="s">
        <v>70</v>
      </c>
      <c r="C3051" s="11" t="s">
        <v>171</v>
      </c>
      <c r="D3051" s="11">
        <v>1</v>
      </c>
      <c r="E3051" s="11" t="s">
        <v>4</v>
      </c>
      <c r="F3051" s="12">
        <v>205800</v>
      </c>
      <c r="G3051" s="12">
        <v>205800</v>
      </c>
      <c r="H3051" s="11" t="str">
        <f t="shared" si="98"/>
        <v>平成6年9月14日</v>
      </c>
      <c r="I3051" s="22">
        <f t="shared" si="99"/>
        <v>34591</v>
      </c>
      <c r="J3051" s="1" t="str">
        <f>"00742777"</f>
        <v>00742777</v>
      </c>
      <c r="K3051" s="1" t="str">
        <f>"３５２　　　　　　　　　　　　　　　　　"</f>
        <v>３５２　　　　　　　　　　　　　　　　　</v>
      </c>
      <c r="L3051" s="1"/>
    </row>
    <row r="3052" spans="1:12" ht="18" customHeight="1" x14ac:dyDescent="0.15">
      <c r="A3052" s="11">
        <v>3190</v>
      </c>
      <c r="B3052" s="11" t="s">
        <v>70</v>
      </c>
      <c r="C3052" s="11" t="s">
        <v>171</v>
      </c>
      <c r="D3052" s="11">
        <v>1</v>
      </c>
      <c r="E3052" s="11" t="s">
        <v>4</v>
      </c>
      <c r="F3052" s="12">
        <v>205800</v>
      </c>
      <c r="G3052" s="12">
        <v>205800</v>
      </c>
      <c r="H3052" s="11" t="str">
        <f t="shared" si="98"/>
        <v>平成6年9月14日</v>
      </c>
      <c r="I3052" s="22">
        <f t="shared" si="99"/>
        <v>34591</v>
      </c>
      <c r="J3052" s="1" t="str">
        <f>"00742779"</f>
        <v>00742779</v>
      </c>
      <c r="K3052" s="1" t="str">
        <f>"３５３　　　　　　　　　　　　　　　　　"</f>
        <v>３５３　　　　　　　　　　　　　　　　　</v>
      </c>
      <c r="L3052" s="1"/>
    </row>
    <row r="3053" spans="1:12" ht="18" customHeight="1" x14ac:dyDescent="0.15">
      <c r="A3053" s="11">
        <v>3191</v>
      </c>
      <c r="B3053" s="11" t="s">
        <v>70</v>
      </c>
      <c r="C3053" s="11" t="s">
        <v>171</v>
      </c>
      <c r="D3053" s="11">
        <v>1</v>
      </c>
      <c r="E3053" s="11" t="s">
        <v>4</v>
      </c>
      <c r="F3053" s="12">
        <v>205800</v>
      </c>
      <c r="G3053" s="12">
        <v>205800</v>
      </c>
      <c r="H3053" s="11" t="str">
        <f t="shared" si="98"/>
        <v>平成6年9月14日</v>
      </c>
      <c r="I3053" s="22">
        <f t="shared" si="99"/>
        <v>34591</v>
      </c>
      <c r="J3053" s="1" t="str">
        <f>"00742781"</f>
        <v>00742781</v>
      </c>
      <c r="K3053" s="1" t="str">
        <f>"３５４　　　　　　　　　　　　　　　　　"</f>
        <v>３５４　　　　　　　　　　　　　　　　　</v>
      </c>
      <c r="L3053" s="1"/>
    </row>
    <row r="3054" spans="1:12" ht="18" customHeight="1" x14ac:dyDescent="0.15">
      <c r="A3054" s="11">
        <v>3192</v>
      </c>
      <c r="B3054" s="11" t="s">
        <v>70</v>
      </c>
      <c r="C3054" s="11" t="s">
        <v>171</v>
      </c>
      <c r="D3054" s="11">
        <v>1</v>
      </c>
      <c r="E3054" s="11" t="s">
        <v>4</v>
      </c>
      <c r="F3054" s="12">
        <v>205800</v>
      </c>
      <c r="G3054" s="12">
        <v>205800</v>
      </c>
      <c r="H3054" s="11" t="str">
        <f t="shared" si="98"/>
        <v>平成6年9月14日</v>
      </c>
      <c r="I3054" s="22">
        <f t="shared" si="99"/>
        <v>34591</v>
      </c>
      <c r="J3054" s="1" t="str">
        <f>"00742783"</f>
        <v>00742783</v>
      </c>
      <c r="K3054" s="1" t="str">
        <f>"３５５　　　　　　　　　　　　　　　　　"</f>
        <v>３５５　　　　　　　　　　　　　　　　　</v>
      </c>
      <c r="L3054" s="1"/>
    </row>
    <row r="3055" spans="1:12" ht="18" customHeight="1" x14ac:dyDescent="0.15">
      <c r="A3055" s="11">
        <v>3193</v>
      </c>
      <c r="B3055" s="11" t="s">
        <v>70</v>
      </c>
      <c r="C3055" s="11" t="s">
        <v>171</v>
      </c>
      <c r="D3055" s="11">
        <v>1</v>
      </c>
      <c r="E3055" s="11" t="s">
        <v>4</v>
      </c>
      <c r="F3055" s="12">
        <v>205800</v>
      </c>
      <c r="G3055" s="12">
        <v>205800</v>
      </c>
      <c r="H3055" s="11" t="str">
        <f t="shared" si="98"/>
        <v>平成6年9月14日</v>
      </c>
      <c r="I3055" s="22">
        <f t="shared" si="99"/>
        <v>34591</v>
      </c>
      <c r="J3055" s="1" t="str">
        <f>"00742785"</f>
        <v>00742785</v>
      </c>
      <c r="K3055" s="1" t="str">
        <f>"３５６　　　　　　　　　　　　　　　　　"</f>
        <v>３５６　　　　　　　　　　　　　　　　　</v>
      </c>
      <c r="L3055" s="1"/>
    </row>
    <row r="3056" spans="1:12" ht="18" customHeight="1" x14ac:dyDescent="0.15">
      <c r="A3056" s="11">
        <v>3194</v>
      </c>
      <c r="B3056" s="11" t="s">
        <v>70</v>
      </c>
      <c r="C3056" s="11" t="s">
        <v>171</v>
      </c>
      <c r="D3056" s="11">
        <v>1</v>
      </c>
      <c r="E3056" s="11" t="s">
        <v>4</v>
      </c>
      <c r="F3056" s="12">
        <v>205800</v>
      </c>
      <c r="G3056" s="12">
        <v>205800</v>
      </c>
      <c r="H3056" s="11" t="str">
        <f t="shared" si="98"/>
        <v>平成6年9月14日</v>
      </c>
      <c r="I3056" s="22">
        <f t="shared" si="99"/>
        <v>34591</v>
      </c>
      <c r="J3056" s="1" t="str">
        <f>"00742787"</f>
        <v>00742787</v>
      </c>
      <c r="K3056" s="1" t="str">
        <f>"３５７　　　　　　　　　　　　　　　　　"</f>
        <v>３５７　　　　　　　　　　　　　　　　　</v>
      </c>
      <c r="L3056" s="1"/>
    </row>
    <row r="3057" spans="1:12" ht="18" customHeight="1" x14ac:dyDescent="0.15">
      <c r="A3057" s="11">
        <v>3195</v>
      </c>
      <c r="B3057" s="11" t="s">
        <v>70</v>
      </c>
      <c r="C3057" s="11" t="s">
        <v>171</v>
      </c>
      <c r="D3057" s="11">
        <v>1</v>
      </c>
      <c r="E3057" s="11" t="s">
        <v>4</v>
      </c>
      <c r="F3057" s="12">
        <v>205800</v>
      </c>
      <c r="G3057" s="12">
        <v>205800</v>
      </c>
      <c r="H3057" s="11" t="str">
        <f t="shared" si="98"/>
        <v>平成6年9月14日</v>
      </c>
      <c r="I3057" s="22">
        <f t="shared" si="99"/>
        <v>34591</v>
      </c>
      <c r="J3057" s="1" t="str">
        <f>"00742789"</f>
        <v>00742789</v>
      </c>
      <c r="K3057" s="1" t="str">
        <f>"３５８　　　　　　　　　　　　　　　　　"</f>
        <v>３５８　　　　　　　　　　　　　　　　　</v>
      </c>
      <c r="L3057" s="1"/>
    </row>
    <row r="3058" spans="1:12" ht="18" customHeight="1" x14ac:dyDescent="0.15">
      <c r="A3058" s="11">
        <v>3196</v>
      </c>
      <c r="B3058" s="11" t="s">
        <v>70</v>
      </c>
      <c r="C3058" s="11" t="s">
        <v>171</v>
      </c>
      <c r="D3058" s="11">
        <v>1</v>
      </c>
      <c r="E3058" s="11" t="s">
        <v>4</v>
      </c>
      <c r="F3058" s="12">
        <v>205800</v>
      </c>
      <c r="G3058" s="12">
        <v>205800</v>
      </c>
      <c r="H3058" s="11" t="str">
        <f t="shared" si="98"/>
        <v>平成6年9月14日</v>
      </c>
      <c r="I3058" s="22">
        <f t="shared" si="99"/>
        <v>34591</v>
      </c>
      <c r="J3058" s="1" t="str">
        <f>"00742791"</f>
        <v>00742791</v>
      </c>
      <c r="K3058" s="1" t="str">
        <f>"３５９　　　　　　　　　　　　　　　　　"</f>
        <v>３５９　　　　　　　　　　　　　　　　　</v>
      </c>
      <c r="L3058" s="1"/>
    </row>
    <row r="3059" spans="1:12" ht="18" customHeight="1" x14ac:dyDescent="0.15">
      <c r="A3059" s="11">
        <v>3197</v>
      </c>
      <c r="B3059" s="11" t="s">
        <v>70</v>
      </c>
      <c r="C3059" s="11" t="s">
        <v>171</v>
      </c>
      <c r="D3059" s="11">
        <v>1</v>
      </c>
      <c r="E3059" s="11" t="s">
        <v>4</v>
      </c>
      <c r="F3059" s="12">
        <v>205800</v>
      </c>
      <c r="G3059" s="12">
        <v>205800</v>
      </c>
      <c r="H3059" s="11" t="str">
        <f t="shared" si="98"/>
        <v>平成6年9月14日</v>
      </c>
      <c r="I3059" s="22">
        <f t="shared" si="99"/>
        <v>34591</v>
      </c>
      <c r="J3059" s="1" t="str">
        <f>"00742793"</f>
        <v>00742793</v>
      </c>
      <c r="K3059" s="1" t="str">
        <f>"３６０　　　　　　　　　　　　　　　　　"</f>
        <v>３６０　　　　　　　　　　　　　　　　　</v>
      </c>
      <c r="L3059" s="1"/>
    </row>
    <row r="3060" spans="1:12" ht="18" customHeight="1" x14ac:dyDescent="0.15">
      <c r="A3060" s="11">
        <v>3198</v>
      </c>
      <c r="B3060" s="11" t="s">
        <v>70</v>
      </c>
      <c r="C3060" s="11" t="s">
        <v>171</v>
      </c>
      <c r="D3060" s="11">
        <v>1</v>
      </c>
      <c r="E3060" s="11" t="s">
        <v>4</v>
      </c>
      <c r="F3060" s="12">
        <v>205800</v>
      </c>
      <c r="G3060" s="12">
        <v>205800</v>
      </c>
      <c r="H3060" s="11" t="str">
        <f t="shared" si="98"/>
        <v>平成6年9月14日</v>
      </c>
      <c r="I3060" s="22">
        <f t="shared" si="99"/>
        <v>34591</v>
      </c>
      <c r="J3060" s="1" t="str">
        <f>"00742795"</f>
        <v>00742795</v>
      </c>
      <c r="K3060" s="1" t="str">
        <f>"３６１　　　　　　　　　　　　　　　　　"</f>
        <v>３６１　　　　　　　　　　　　　　　　　</v>
      </c>
      <c r="L3060" s="1"/>
    </row>
    <row r="3061" spans="1:12" ht="18" customHeight="1" x14ac:dyDescent="0.15">
      <c r="A3061" s="11">
        <v>3199</v>
      </c>
      <c r="B3061" s="11" t="s">
        <v>70</v>
      </c>
      <c r="C3061" s="11" t="s">
        <v>171</v>
      </c>
      <c r="D3061" s="11">
        <v>1</v>
      </c>
      <c r="E3061" s="11" t="s">
        <v>4</v>
      </c>
      <c r="F3061" s="12">
        <v>205800</v>
      </c>
      <c r="G3061" s="12">
        <v>205800</v>
      </c>
      <c r="H3061" s="11" t="str">
        <f t="shared" si="98"/>
        <v>平成6年9月14日</v>
      </c>
      <c r="I3061" s="22">
        <f t="shared" si="99"/>
        <v>34591</v>
      </c>
      <c r="J3061" s="1" t="str">
        <f>"00742797"</f>
        <v>00742797</v>
      </c>
      <c r="K3061" s="1" t="str">
        <f>"３６２　　　　　　　　　　　　　　　　　"</f>
        <v>３６２　　　　　　　　　　　　　　　　　</v>
      </c>
      <c r="L3061" s="1"/>
    </row>
    <row r="3062" spans="1:12" ht="18" customHeight="1" x14ac:dyDescent="0.15">
      <c r="A3062" s="11">
        <v>3200</v>
      </c>
      <c r="B3062" s="11" t="s">
        <v>70</v>
      </c>
      <c r="C3062" s="11" t="s">
        <v>171</v>
      </c>
      <c r="D3062" s="11">
        <v>1</v>
      </c>
      <c r="E3062" s="11" t="s">
        <v>4</v>
      </c>
      <c r="F3062" s="12">
        <v>205800</v>
      </c>
      <c r="G3062" s="12">
        <v>205800</v>
      </c>
      <c r="H3062" s="11" t="str">
        <f t="shared" si="98"/>
        <v>平成6年9月14日</v>
      </c>
      <c r="I3062" s="22">
        <f t="shared" si="99"/>
        <v>34591</v>
      </c>
      <c r="J3062" s="1" t="str">
        <f>"00742798"</f>
        <v>00742798</v>
      </c>
      <c r="K3062" s="1" t="str">
        <f>"３６３　　　　　　　　　　　　　　　　　"</f>
        <v>３６３　　　　　　　　　　　　　　　　　</v>
      </c>
      <c r="L3062" s="1"/>
    </row>
    <row r="3063" spans="1:12" ht="18" customHeight="1" x14ac:dyDescent="0.15">
      <c r="A3063" s="11">
        <v>3201</v>
      </c>
      <c r="B3063" s="11" t="s">
        <v>70</v>
      </c>
      <c r="C3063" s="11" t="s">
        <v>171</v>
      </c>
      <c r="D3063" s="11">
        <v>1</v>
      </c>
      <c r="E3063" s="11" t="s">
        <v>4</v>
      </c>
      <c r="F3063" s="12">
        <v>205800</v>
      </c>
      <c r="G3063" s="12">
        <v>205800</v>
      </c>
      <c r="H3063" s="11" t="str">
        <f t="shared" si="98"/>
        <v>平成6年9月14日</v>
      </c>
      <c r="I3063" s="22">
        <f t="shared" si="99"/>
        <v>34591</v>
      </c>
      <c r="J3063" s="1" t="str">
        <f>"00742800"</f>
        <v>00742800</v>
      </c>
      <c r="K3063" s="1" t="str">
        <f>"３６４　　　　　　　　　　　　　　　　　"</f>
        <v>３６４　　　　　　　　　　　　　　　　　</v>
      </c>
      <c r="L3063" s="1"/>
    </row>
    <row r="3064" spans="1:12" ht="18" customHeight="1" x14ac:dyDescent="0.15">
      <c r="A3064" s="11">
        <v>3202</v>
      </c>
      <c r="B3064" s="11" t="s">
        <v>70</v>
      </c>
      <c r="C3064" s="11" t="s">
        <v>171</v>
      </c>
      <c r="D3064" s="11">
        <v>1</v>
      </c>
      <c r="E3064" s="11" t="s">
        <v>4</v>
      </c>
      <c r="F3064" s="12">
        <v>205800</v>
      </c>
      <c r="G3064" s="12">
        <v>205800</v>
      </c>
      <c r="H3064" s="11" t="str">
        <f t="shared" si="98"/>
        <v>平成6年9月14日</v>
      </c>
      <c r="I3064" s="22">
        <f t="shared" si="99"/>
        <v>34591</v>
      </c>
      <c r="J3064" s="1" t="str">
        <f>"00742802"</f>
        <v>00742802</v>
      </c>
      <c r="K3064" s="1" t="str">
        <f>"３６５　　　　　　　　　　　　　　　　　"</f>
        <v>３６５　　　　　　　　　　　　　　　　　</v>
      </c>
      <c r="L3064" s="1"/>
    </row>
    <row r="3065" spans="1:12" ht="18" customHeight="1" x14ac:dyDescent="0.15">
      <c r="A3065" s="11">
        <v>3203</v>
      </c>
      <c r="B3065" s="11" t="s">
        <v>70</v>
      </c>
      <c r="C3065" s="11" t="s">
        <v>172</v>
      </c>
      <c r="D3065" s="11">
        <v>1</v>
      </c>
      <c r="E3065" s="11" t="s">
        <v>4</v>
      </c>
      <c r="F3065" s="12">
        <v>88250</v>
      </c>
      <c r="G3065" s="12">
        <v>88250</v>
      </c>
      <c r="H3065" s="11" t="str">
        <f t="shared" si="98"/>
        <v>平成6年9月14日</v>
      </c>
      <c r="I3065" s="22">
        <f t="shared" si="99"/>
        <v>34591</v>
      </c>
      <c r="J3065" s="1" t="str">
        <f>"00742804"</f>
        <v>00742804</v>
      </c>
      <c r="K3065" s="1" t="str">
        <f>"３６６　　　　　　　　　　　　　　　　　"</f>
        <v>３６６　　　　　　　　　　　　　　　　　</v>
      </c>
      <c r="L3065" s="1"/>
    </row>
    <row r="3066" spans="1:12" ht="18" customHeight="1" x14ac:dyDescent="0.15">
      <c r="A3066" s="11">
        <v>3204</v>
      </c>
      <c r="B3066" s="11" t="s">
        <v>70</v>
      </c>
      <c r="C3066" s="11" t="s">
        <v>172</v>
      </c>
      <c r="D3066" s="11">
        <v>1</v>
      </c>
      <c r="E3066" s="11" t="s">
        <v>4</v>
      </c>
      <c r="F3066" s="12">
        <v>88250</v>
      </c>
      <c r="G3066" s="12">
        <v>88250</v>
      </c>
      <c r="H3066" s="11" t="str">
        <f t="shared" si="98"/>
        <v>平成6年9月14日</v>
      </c>
      <c r="I3066" s="22">
        <f t="shared" si="99"/>
        <v>34591</v>
      </c>
      <c r="J3066" s="1" t="str">
        <f>"00742807"</f>
        <v>00742807</v>
      </c>
      <c r="K3066" s="1" t="str">
        <f>"３６７　　　　　　　　　　　　　　　　　"</f>
        <v>３６７　　　　　　　　　　　　　　　　　</v>
      </c>
      <c r="L3066" s="1"/>
    </row>
    <row r="3067" spans="1:12" ht="18" customHeight="1" x14ac:dyDescent="0.15">
      <c r="A3067" s="11">
        <v>3205</v>
      </c>
      <c r="B3067" s="11" t="s">
        <v>70</v>
      </c>
      <c r="C3067" s="11" t="s">
        <v>172</v>
      </c>
      <c r="D3067" s="11">
        <v>1</v>
      </c>
      <c r="E3067" s="11" t="s">
        <v>4</v>
      </c>
      <c r="F3067" s="12">
        <v>88250</v>
      </c>
      <c r="G3067" s="12">
        <v>88250</v>
      </c>
      <c r="H3067" s="11" t="str">
        <f t="shared" si="98"/>
        <v>平成6年9月14日</v>
      </c>
      <c r="I3067" s="22">
        <f t="shared" si="99"/>
        <v>34591</v>
      </c>
      <c r="J3067" s="1" t="str">
        <f>"00742809"</f>
        <v>00742809</v>
      </c>
      <c r="K3067" s="1" t="str">
        <f>"３６８　　　　　　　　　　　　　　　　　"</f>
        <v>３６８　　　　　　　　　　　　　　　　　</v>
      </c>
      <c r="L3067" s="1"/>
    </row>
    <row r="3068" spans="1:12" ht="18" customHeight="1" x14ac:dyDescent="0.15">
      <c r="A3068" s="11">
        <v>3206</v>
      </c>
      <c r="B3068" s="11" t="s">
        <v>70</v>
      </c>
      <c r="C3068" s="11" t="s">
        <v>172</v>
      </c>
      <c r="D3068" s="11">
        <v>1</v>
      </c>
      <c r="E3068" s="11" t="s">
        <v>4</v>
      </c>
      <c r="F3068" s="12">
        <v>88250</v>
      </c>
      <c r="G3068" s="12">
        <v>88250</v>
      </c>
      <c r="H3068" s="11" t="str">
        <f t="shared" si="98"/>
        <v>平成6年9月14日</v>
      </c>
      <c r="I3068" s="22">
        <f t="shared" si="99"/>
        <v>34591</v>
      </c>
      <c r="J3068" s="1" t="str">
        <f>"00742811"</f>
        <v>00742811</v>
      </c>
      <c r="K3068" s="1" t="str">
        <f>"３６９　　　　　　　　　　　　　　　　　"</f>
        <v>３６９　　　　　　　　　　　　　　　　　</v>
      </c>
      <c r="L3068" s="1"/>
    </row>
    <row r="3069" spans="1:12" ht="18" customHeight="1" x14ac:dyDescent="0.15">
      <c r="A3069" s="11">
        <v>3207</v>
      </c>
      <c r="B3069" s="11" t="s">
        <v>70</v>
      </c>
      <c r="C3069" s="11" t="s">
        <v>173</v>
      </c>
      <c r="D3069" s="11">
        <v>1</v>
      </c>
      <c r="E3069" s="11" t="s">
        <v>4</v>
      </c>
      <c r="F3069" s="12">
        <v>161500</v>
      </c>
      <c r="G3069" s="12">
        <v>161500</v>
      </c>
      <c r="H3069" s="11" t="str">
        <f t="shared" si="98"/>
        <v>平成6年9月14日</v>
      </c>
      <c r="I3069" s="22">
        <f t="shared" si="99"/>
        <v>34591</v>
      </c>
      <c r="J3069" s="1" t="str">
        <f>"00742813"</f>
        <v>00742813</v>
      </c>
      <c r="K3069" s="1" t="str">
        <f>"３７０　　　　　　　　　　　　　　　　　"</f>
        <v>３７０　　　　　　　　　　　　　　　　　</v>
      </c>
      <c r="L3069" s="1"/>
    </row>
    <row r="3070" spans="1:12" ht="18" customHeight="1" x14ac:dyDescent="0.15">
      <c r="A3070" s="11">
        <v>3208</v>
      </c>
      <c r="B3070" s="11" t="s">
        <v>70</v>
      </c>
      <c r="C3070" s="11" t="s">
        <v>174</v>
      </c>
      <c r="D3070" s="11">
        <v>1</v>
      </c>
      <c r="E3070" s="11" t="s">
        <v>4</v>
      </c>
      <c r="F3070" s="12">
        <v>84300</v>
      </c>
      <c r="G3070" s="12">
        <v>84300</v>
      </c>
      <c r="H3070" s="11" t="str">
        <f t="shared" si="98"/>
        <v>平成6年9月14日</v>
      </c>
      <c r="I3070" s="22">
        <f t="shared" si="99"/>
        <v>34591</v>
      </c>
      <c r="J3070" s="1" t="str">
        <f>"00742814"</f>
        <v>00742814</v>
      </c>
      <c r="K3070" s="1" t="str">
        <f>"３７１　　　　　　　　　　　　　　　　　"</f>
        <v>３７１　　　　　　　　　　　　　　　　　</v>
      </c>
      <c r="L3070" s="1"/>
    </row>
    <row r="3071" spans="1:12" ht="18" customHeight="1" x14ac:dyDescent="0.15">
      <c r="A3071" s="11">
        <v>3209</v>
      </c>
      <c r="B3071" s="11" t="s">
        <v>70</v>
      </c>
      <c r="C3071" s="11" t="s">
        <v>174</v>
      </c>
      <c r="D3071" s="11">
        <v>1</v>
      </c>
      <c r="E3071" s="11" t="s">
        <v>4</v>
      </c>
      <c r="F3071" s="12">
        <v>84300</v>
      </c>
      <c r="G3071" s="12">
        <v>84300</v>
      </c>
      <c r="H3071" s="11" t="str">
        <f t="shared" si="98"/>
        <v>平成6年9月14日</v>
      </c>
      <c r="I3071" s="22">
        <f t="shared" si="99"/>
        <v>34591</v>
      </c>
      <c r="J3071" s="1" t="str">
        <f>"00742816"</f>
        <v>00742816</v>
      </c>
      <c r="K3071" s="1" t="str">
        <f>"３７２　　　　　　　　　　　　　　　　　"</f>
        <v>３７２　　　　　　　　　　　　　　　　　</v>
      </c>
      <c r="L3071" s="1"/>
    </row>
    <row r="3072" spans="1:12" ht="18" customHeight="1" x14ac:dyDescent="0.15">
      <c r="A3072" s="11">
        <v>3210</v>
      </c>
      <c r="B3072" s="11" t="s">
        <v>70</v>
      </c>
      <c r="C3072" s="11" t="s">
        <v>174</v>
      </c>
      <c r="D3072" s="11">
        <v>1</v>
      </c>
      <c r="E3072" s="11" t="s">
        <v>4</v>
      </c>
      <c r="F3072" s="12">
        <v>84300</v>
      </c>
      <c r="G3072" s="12">
        <v>84300</v>
      </c>
      <c r="H3072" s="11" t="str">
        <f t="shared" si="98"/>
        <v>平成6年9月14日</v>
      </c>
      <c r="I3072" s="22">
        <f t="shared" si="99"/>
        <v>34591</v>
      </c>
      <c r="J3072" s="1" t="str">
        <f>"00742819"</f>
        <v>00742819</v>
      </c>
      <c r="K3072" s="1" t="str">
        <f>"３７３　　　　　　　　　　　　　　　　　"</f>
        <v>３７３　　　　　　　　　　　　　　　　　</v>
      </c>
      <c r="L3072" s="1"/>
    </row>
    <row r="3073" spans="1:12" ht="18" customHeight="1" x14ac:dyDescent="0.15">
      <c r="A3073" s="11">
        <v>3211</v>
      </c>
      <c r="B3073" s="11" t="s">
        <v>70</v>
      </c>
      <c r="C3073" s="11" t="s">
        <v>174</v>
      </c>
      <c r="D3073" s="11">
        <v>1</v>
      </c>
      <c r="E3073" s="11" t="s">
        <v>4</v>
      </c>
      <c r="F3073" s="12">
        <v>84300</v>
      </c>
      <c r="G3073" s="12">
        <v>84300</v>
      </c>
      <c r="H3073" s="11" t="str">
        <f t="shared" si="98"/>
        <v>平成6年9月14日</v>
      </c>
      <c r="I3073" s="22">
        <f t="shared" si="99"/>
        <v>34591</v>
      </c>
      <c r="J3073" s="1" t="str">
        <f>"00742821"</f>
        <v>00742821</v>
      </c>
      <c r="K3073" s="1" t="str">
        <f>"３７４　　　　　　　　　　　　　　　　　"</f>
        <v>３７４　　　　　　　　　　　　　　　　　</v>
      </c>
      <c r="L3073" s="1"/>
    </row>
    <row r="3074" spans="1:12" ht="18" customHeight="1" x14ac:dyDescent="0.15">
      <c r="A3074" s="11">
        <v>3212</v>
      </c>
      <c r="B3074" s="11" t="s">
        <v>70</v>
      </c>
      <c r="C3074" s="11" t="s">
        <v>175</v>
      </c>
      <c r="D3074" s="11">
        <v>1</v>
      </c>
      <c r="E3074" s="11" t="s">
        <v>4</v>
      </c>
      <c r="F3074" s="12">
        <v>69800</v>
      </c>
      <c r="G3074" s="12">
        <v>69800</v>
      </c>
      <c r="H3074" s="11" t="str">
        <f t="shared" si="98"/>
        <v>平成6年9月14日</v>
      </c>
      <c r="I3074" s="22">
        <f t="shared" si="99"/>
        <v>34591</v>
      </c>
      <c r="J3074" s="1" t="str">
        <f>"00742822"</f>
        <v>00742822</v>
      </c>
      <c r="K3074" s="1" t="str">
        <f>"３７５　　　　　　　　　　　　　　　　　"</f>
        <v>３７５　　　　　　　　　　　　　　　　　</v>
      </c>
      <c r="L3074" s="1"/>
    </row>
    <row r="3075" spans="1:12" ht="18" customHeight="1" x14ac:dyDescent="0.15">
      <c r="A3075" s="11">
        <v>3213</v>
      </c>
      <c r="B3075" s="11" t="s">
        <v>70</v>
      </c>
      <c r="C3075" s="11" t="s">
        <v>175</v>
      </c>
      <c r="D3075" s="11">
        <v>1</v>
      </c>
      <c r="E3075" s="11" t="s">
        <v>4</v>
      </c>
      <c r="F3075" s="12">
        <v>69800</v>
      </c>
      <c r="G3075" s="12">
        <v>69800</v>
      </c>
      <c r="H3075" s="11" t="str">
        <f t="shared" si="98"/>
        <v>平成6年9月14日</v>
      </c>
      <c r="I3075" s="22">
        <f t="shared" si="99"/>
        <v>34591</v>
      </c>
      <c r="J3075" s="1" t="str">
        <f>"00742825"</f>
        <v>00742825</v>
      </c>
      <c r="K3075" s="1" t="str">
        <f>"３７６　　　　　　　　　　　　　　　　　"</f>
        <v>３７６　　　　　　　　　　　　　　　　　</v>
      </c>
      <c r="L3075" s="1"/>
    </row>
    <row r="3076" spans="1:12" ht="18" customHeight="1" x14ac:dyDescent="0.15">
      <c r="A3076" s="11">
        <v>3214</v>
      </c>
      <c r="B3076" s="11" t="s">
        <v>70</v>
      </c>
      <c r="C3076" s="11" t="s">
        <v>175</v>
      </c>
      <c r="D3076" s="11">
        <v>1</v>
      </c>
      <c r="E3076" s="11" t="s">
        <v>4</v>
      </c>
      <c r="F3076" s="12">
        <v>69800</v>
      </c>
      <c r="G3076" s="12">
        <v>69800</v>
      </c>
      <c r="H3076" s="11" t="str">
        <f t="shared" si="98"/>
        <v>平成6年9月14日</v>
      </c>
      <c r="I3076" s="22">
        <f t="shared" si="99"/>
        <v>34591</v>
      </c>
      <c r="J3076" s="1" t="str">
        <f>"00742826"</f>
        <v>00742826</v>
      </c>
      <c r="K3076" s="1" t="str">
        <f>"３７７　　　　　　　　　　　　　　　　　"</f>
        <v>３７７　　　　　　　　　　　　　　　　　</v>
      </c>
      <c r="L3076" s="1"/>
    </row>
    <row r="3077" spans="1:12" ht="18" customHeight="1" x14ac:dyDescent="0.15">
      <c r="A3077" s="11">
        <v>3215</v>
      </c>
      <c r="B3077" s="11" t="s">
        <v>70</v>
      </c>
      <c r="C3077" s="11" t="s">
        <v>175</v>
      </c>
      <c r="D3077" s="11">
        <v>1</v>
      </c>
      <c r="E3077" s="11" t="s">
        <v>4</v>
      </c>
      <c r="F3077" s="12">
        <v>69800</v>
      </c>
      <c r="G3077" s="12">
        <v>69800</v>
      </c>
      <c r="H3077" s="11" t="str">
        <f t="shared" si="98"/>
        <v>平成6年9月14日</v>
      </c>
      <c r="I3077" s="22">
        <f t="shared" si="99"/>
        <v>34591</v>
      </c>
      <c r="J3077" s="1" t="str">
        <f>"00742829"</f>
        <v>00742829</v>
      </c>
      <c r="K3077" s="1" t="str">
        <f>"３７８　　　　　　　　　　　　　　　　　"</f>
        <v>３７８　　　　　　　　　　　　　　　　　</v>
      </c>
      <c r="L3077" s="1"/>
    </row>
    <row r="3078" spans="1:12" ht="18" customHeight="1" x14ac:dyDescent="0.15">
      <c r="A3078" s="11">
        <v>3216</v>
      </c>
      <c r="B3078" s="11" t="s">
        <v>70</v>
      </c>
      <c r="C3078" s="11" t="s">
        <v>175</v>
      </c>
      <c r="D3078" s="11">
        <v>1</v>
      </c>
      <c r="E3078" s="11" t="s">
        <v>4</v>
      </c>
      <c r="F3078" s="12">
        <v>69800</v>
      </c>
      <c r="G3078" s="12">
        <v>69800</v>
      </c>
      <c r="H3078" s="11" t="str">
        <f t="shared" si="98"/>
        <v>平成6年9月14日</v>
      </c>
      <c r="I3078" s="22">
        <f t="shared" si="99"/>
        <v>34591</v>
      </c>
      <c r="J3078" s="1" t="str">
        <f>"00742831"</f>
        <v>00742831</v>
      </c>
      <c r="K3078" s="1" t="str">
        <f>"３７９　　　　　　　　　　　　　　　　　"</f>
        <v>３７９　　　　　　　　　　　　　　　　　</v>
      </c>
      <c r="L3078" s="1"/>
    </row>
    <row r="3079" spans="1:12" ht="18" customHeight="1" x14ac:dyDescent="0.15">
      <c r="A3079" s="11">
        <v>3217</v>
      </c>
      <c r="B3079" s="11" t="s">
        <v>70</v>
      </c>
      <c r="C3079" s="11" t="s">
        <v>175</v>
      </c>
      <c r="D3079" s="11">
        <v>1</v>
      </c>
      <c r="E3079" s="11" t="s">
        <v>4</v>
      </c>
      <c r="F3079" s="12">
        <v>69800</v>
      </c>
      <c r="G3079" s="12">
        <v>69800</v>
      </c>
      <c r="H3079" s="11" t="str">
        <f t="shared" si="98"/>
        <v>平成6年9月14日</v>
      </c>
      <c r="I3079" s="22">
        <f t="shared" si="99"/>
        <v>34591</v>
      </c>
      <c r="J3079" s="1" t="str">
        <f>"00742833"</f>
        <v>00742833</v>
      </c>
      <c r="K3079" s="1" t="str">
        <f>"３８０　　　　　　　　　　　　　　　　　"</f>
        <v>３８０　　　　　　　　　　　　　　　　　</v>
      </c>
      <c r="L3079" s="1"/>
    </row>
    <row r="3080" spans="1:12" ht="18" customHeight="1" x14ac:dyDescent="0.15">
      <c r="A3080" s="11">
        <v>3218</v>
      </c>
      <c r="B3080" s="11" t="s">
        <v>70</v>
      </c>
      <c r="C3080" s="11" t="s">
        <v>175</v>
      </c>
      <c r="D3080" s="11">
        <v>1</v>
      </c>
      <c r="E3080" s="11" t="s">
        <v>4</v>
      </c>
      <c r="F3080" s="12">
        <v>69800</v>
      </c>
      <c r="G3080" s="12">
        <v>69800</v>
      </c>
      <c r="H3080" s="11" t="str">
        <f t="shared" si="98"/>
        <v>平成6年9月14日</v>
      </c>
      <c r="I3080" s="22">
        <f t="shared" si="99"/>
        <v>34591</v>
      </c>
      <c r="J3080" s="1" t="str">
        <f>"00742834"</f>
        <v>00742834</v>
      </c>
      <c r="K3080" s="1" t="str">
        <f>"３８１　　　　　　　　　　　　　　　　　"</f>
        <v>３８１　　　　　　　　　　　　　　　　　</v>
      </c>
      <c r="L3080" s="1"/>
    </row>
    <row r="3081" spans="1:12" ht="18" customHeight="1" x14ac:dyDescent="0.15">
      <c r="A3081" s="11">
        <v>3219</v>
      </c>
      <c r="B3081" s="11" t="s">
        <v>70</v>
      </c>
      <c r="C3081" s="11" t="s">
        <v>175</v>
      </c>
      <c r="D3081" s="11">
        <v>1</v>
      </c>
      <c r="E3081" s="11" t="s">
        <v>4</v>
      </c>
      <c r="F3081" s="12">
        <v>69800</v>
      </c>
      <c r="G3081" s="12">
        <v>69800</v>
      </c>
      <c r="H3081" s="11" t="str">
        <f t="shared" si="98"/>
        <v>平成6年9月14日</v>
      </c>
      <c r="I3081" s="22">
        <f t="shared" si="99"/>
        <v>34591</v>
      </c>
      <c r="J3081" s="1" t="str">
        <f>"00742837"</f>
        <v>00742837</v>
      </c>
      <c r="K3081" s="1" t="str">
        <f>"３８２　　　　　　　　　　　　　　　　　"</f>
        <v>３８２　　　　　　　　　　　　　　　　　</v>
      </c>
      <c r="L3081" s="1"/>
    </row>
    <row r="3082" spans="1:12" ht="18" customHeight="1" x14ac:dyDescent="0.15">
      <c r="A3082" s="11">
        <v>3220</v>
      </c>
      <c r="B3082" s="11" t="s">
        <v>70</v>
      </c>
      <c r="C3082" s="11" t="s">
        <v>175</v>
      </c>
      <c r="D3082" s="11">
        <v>1</v>
      </c>
      <c r="E3082" s="11" t="s">
        <v>4</v>
      </c>
      <c r="F3082" s="12">
        <v>69800</v>
      </c>
      <c r="G3082" s="12">
        <v>69800</v>
      </c>
      <c r="H3082" s="11" t="str">
        <f t="shared" si="98"/>
        <v>平成6年9月14日</v>
      </c>
      <c r="I3082" s="22">
        <f t="shared" si="99"/>
        <v>34591</v>
      </c>
      <c r="J3082" s="1" t="str">
        <f>"00742839"</f>
        <v>00742839</v>
      </c>
      <c r="K3082" s="1" t="str">
        <f>"３８３　　　　　　　　　　　　　　　　　"</f>
        <v>３８３　　　　　　　　　　　　　　　　　</v>
      </c>
      <c r="L3082" s="1"/>
    </row>
    <row r="3083" spans="1:12" ht="18" customHeight="1" x14ac:dyDescent="0.15">
      <c r="A3083" s="11">
        <v>3221</v>
      </c>
      <c r="B3083" s="11" t="s">
        <v>70</v>
      </c>
      <c r="C3083" s="11" t="s">
        <v>175</v>
      </c>
      <c r="D3083" s="11">
        <v>1</v>
      </c>
      <c r="E3083" s="11" t="s">
        <v>4</v>
      </c>
      <c r="F3083" s="12">
        <v>69800</v>
      </c>
      <c r="G3083" s="12">
        <v>69800</v>
      </c>
      <c r="H3083" s="11" t="str">
        <f t="shared" si="98"/>
        <v>平成6年9月14日</v>
      </c>
      <c r="I3083" s="22">
        <f t="shared" si="99"/>
        <v>34591</v>
      </c>
      <c r="J3083" s="1" t="str">
        <f>"00742840"</f>
        <v>00742840</v>
      </c>
      <c r="K3083" s="1" t="str">
        <f>"３８４　　　　　　　　　　　　　　　　　"</f>
        <v>３８４　　　　　　　　　　　　　　　　　</v>
      </c>
      <c r="L3083" s="1"/>
    </row>
    <row r="3084" spans="1:12" ht="18" customHeight="1" x14ac:dyDescent="0.15">
      <c r="A3084" s="11">
        <v>3222</v>
      </c>
      <c r="B3084" s="11" t="s">
        <v>70</v>
      </c>
      <c r="C3084" s="11" t="s">
        <v>175</v>
      </c>
      <c r="D3084" s="11">
        <v>1</v>
      </c>
      <c r="E3084" s="11" t="s">
        <v>4</v>
      </c>
      <c r="F3084" s="12">
        <v>69800</v>
      </c>
      <c r="G3084" s="12">
        <v>69800</v>
      </c>
      <c r="H3084" s="11" t="str">
        <f t="shared" si="98"/>
        <v>平成6年9月14日</v>
      </c>
      <c r="I3084" s="22">
        <f t="shared" si="99"/>
        <v>34591</v>
      </c>
      <c r="J3084" s="1" t="str">
        <f>"00742842"</f>
        <v>00742842</v>
      </c>
      <c r="K3084" s="1" t="str">
        <f>"３８５　　　　　　　　　　　　　　　　　"</f>
        <v>３８５　　　　　　　　　　　　　　　　　</v>
      </c>
      <c r="L3084" s="1"/>
    </row>
    <row r="3085" spans="1:12" ht="18" customHeight="1" x14ac:dyDescent="0.15">
      <c r="A3085" s="11">
        <v>3223</v>
      </c>
      <c r="B3085" s="11" t="s">
        <v>70</v>
      </c>
      <c r="C3085" s="11" t="s">
        <v>175</v>
      </c>
      <c r="D3085" s="11">
        <v>1</v>
      </c>
      <c r="E3085" s="11" t="s">
        <v>4</v>
      </c>
      <c r="F3085" s="12">
        <v>69800</v>
      </c>
      <c r="G3085" s="12">
        <v>69800</v>
      </c>
      <c r="H3085" s="11" t="str">
        <f t="shared" si="98"/>
        <v>平成6年9月14日</v>
      </c>
      <c r="I3085" s="22">
        <f t="shared" si="99"/>
        <v>34591</v>
      </c>
      <c r="J3085" s="1" t="str">
        <f>"00742845"</f>
        <v>00742845</v>
      </c>
      <c r="K3085" s="1" t="str">
        <f>"３８６　　　　　　　　　　　　　　　　　"</f>
        <v>３８６　　　　　　　　　　　　　　　　　</v>
      </c>
      <c r="L3085" s="1"/>
    </row>
    <row r="3086" spans="1:12" ht="18" customHeight="1" x14ac:dyDescent="0.15">
      <c r="A3086" s="11">
        <v>3224</v>
      </c>
      <c r="B3086" s="11" t="s">
        <v>70</v>
      </c>
      <c r="C3086" s="11" t="s">
        <v>175</v>
      </c>
      <c r="D3086" s="11">
        <v>1</v>
      </c>
      <c r="E3086" s="11" t="s">
        <v>4</v>
      </c>
      <c r="F3086" s="12">
        <v>69800</v>
      </c>
      <c r="G3086" s="12">
        <v>69800</v>
      </c>
      <c r="H3086" s="11" t="str">
        <f t="shared" si="98"/>
        <v>平成6年9月14日</v>
      </c>
      <c r="I3086" s="22">
        <f t="shared" si="99"/>
        <v>34591</v>
      </c>
      <c r="J3086" s="1" t="str">
        <f>"00742846"</f>
        <v>00742846</v>
      </c>
      <c r="K3086" s="1" t="str">
        <f>"３８７　　　　　　　　　　　　　　　　　"</f>
        <v>３８７　　　　　　　　　　　　　　　　　</v>
      </c>
      <c r="L3086" s="1"/>
    </row>
    <row r="3087" spans="1:12" ht="18" customHeight="1" x14ac:dyDescent="0.15">
      <c r="A3087" s="11">
        <v>3225</v>
      </c>
      <c r="B3087" s="11" t="s">
        <v>70</v>
      </c>
      <c r="C3087" s="11" t="s">
        <v>175</v>
      </c>
      <c r="D3087" s="11">
        <v>1</v>
      </c>
      <c r="E3087" s="11" t="s">
        <v>4</v>
      </c>
      <c r="F3087" s="12">
        <v>69800</v>
      </c>
      <c r="G3087" s="12">
        <v>69800</v>
      </c>
      <c r="H3087" s="11" t="str">
        <f t="shared" ref="H3087:H3150" si="100">"平成6年9月14日"</f>
        <v>平成6年9月14日</v>
      </c>
      <c r="I3087" s="22">
        <f t="shared" si="99"/>
        <v>34591</v>
      </c>
      <c r="J3087" s="1" t="str">
        <f>"00742848"</f>
        <v>00742848</v>
      </c>
      <c r="K3087" s="1" t="str">
        <f>"３８８　　　　　　　　　　　　　　　　　"</f>
        <v>３８８　　　　　　　　　　　　　　　　　</v>
      </c>
      <c r="L3087" s="1"/>
    </row>
    <row r="3088" spans="1:12" ht="18" customHeight="1" x14ac:dyDescent="0.15">
      <c r="A3088" s="11">
        <v>3226</v>
      </c>
      <c r="B3088" s="11" t="s">
        <v>70</v>
      </c>
      <c r="C3088" s="11" t="s">
        <v>176</v>
      </c>
      <c r="D3088" s="11">
        <v>1</v>
      </c>
      <c r="E3088" s="11" t="s">
        <v>4</v>
      </c>
      <c r="F3088" s="12">
        <v>107400</v>
      </c>
      <c r="G3088" s="12">
        <v>107400</v>
      </c>
      <c r="H3088" s="11" t="str">
        <f t="shared" si="100"/>
        <v>平成6年9月14日</v>
      </c>
      <c r="I3088" s="22">
        <f t="shared" si="99"/>
        <v>34591</v>
      </c>
      <c r="J3088" s="1" t="str">
        <f>"00742851"</f>
        <v>00742851</v>
      </c>
      <c r="K3088" s="1" t="str">
        <f>"３８９　　　　　　　　　　　　　　　　　"</f>
        <v>３８９　　　　　　　　　　　　　　　　　</v>
      </c>
      <c r="L3088" s="1"/>
    </row>
    <row r="3089" spans="1:12" ht="18" customHeight="1" x14ac:dyDescent="0.15">
      <c r="A3089" s="11">
        <v>3227</v>
      </c>
      <c r="B3089" s="11" t="s">
        <v>70</v>
      </c>
      <c r="C3089" s="11" t="s">
        <v>176</v>
      </c>
      <c r="D3089" s="11">
        <v>1</v>
      </c>
      <c r="E3089" s="11" t="s">
        <v>4</v>
      </c>
      <c r="F3089" s="12">
        <v>107400</v>
      </c>
      <c r="G3089" s="12">
        <v>107400</v>
      </c>
      <c r="H3089" s="11" t="str">
        <f t="shared" si="100"/>
        <v>平成6年9月14日</v>
      </c>
      <c r="I3089" s="22">
        <f t="shared" si="99"/>
        <v>34591</v>
      </c>
      <c r="J3089" s="1" t="str">
        <f>"00742852"</f>
        <v>00742852</v>
      </c>
      <c r="K3089" s="1" t="str">
        <f>"３９０　　　　　　　　　　　　　　　　　"</f>
        <v>３９０　　　　　　　　　　　　　　　　　</v>
      </c>
      <c r="L3089" s="1"/>
    </row>
    <row r="3090" spans="1:12" ht="18" customHeight="1" x14ac:dyDescent="0.15">
      <c r="A3090" s="11">
        <v>3228</v>
      </c>
      <c r="B3090" s="11" t="s">
        <v>70</v>
      </c>
      <c r="C3090" s="11" t="s">
        <v>176</v>
      </c>
      <c r="D3090" s="11">
        <v>1</v>
      </c>
      <c r="E3090" s="11" t="s">
        <v>4</v>
      </c>
      <c r="F3090" s="12">
        <v>107400</v>
      </c>
      <c r="G3090" s="12">
        <v>107400</v>
      </c>
      <c r="H3090" s="11" t="str">
        <f t="shared" si="100"/>
        <v>平成6年9月14日</v>
      </c>
      <c r="I3090" s="22">
        <f t="shared" ref="I3090:I3153" si="101">DATEVALUE(H3090)</f>
        <v>34591</v>
      </c>
      <c r="J3090" s="1" t="str">
        <f>"00742855"</f>
        <v>00742855</v>
      </c>
      <c r="K3090" s="1" t="str">
        <f>"３９１　　　　　　　　　　　　　　　　　"</f>
        <v>３９１　　　　　　　　　　　　　　　　　</v>
      </c>
      <c r="L3090" s="1"/>
    </row>
    <row r="3091" spans="1:12" ht="18" customHeight="1" x14ac:dyDescent="0.15">
      <c r="A3091" s="11">
        <v>3229</v>
      </c>
      <c r="B3091" s="11" t="s">
        <v>70</v>
      </c>
      <c r="C3091" s="11" t="s">
        <v>176</v>
      </c>
      <c r="D3091" s="11">
        <v>1</v>
      </c>
      <c r="E3091" s="11" t="s">
        <v>4</v>
      </c>
      <c r="F3091" s="12">
        <v>107400</v>
      </c>
      <c r="G3091" s="12">
        <v>107400</v>
      </c>
      <c r="H3091" s="11" t="str">
        <f t="shared" si="100"/>
        <v>平成6年9月14日</v>
      </c>
      <c r="I3091" s="22">
        <f t="shared" si="101"/>
        <v>34591</v>
      </c>
      <c r="J3091" s="1" t="str">
        <f>"00742856"</f>
        <v>00742856</v>
      </c>
      <c r="K3091" s="1" t="str">
        <f>"３９２　　　　　　　　　　　　　　　　　"</f>
        <v>３９２　　　　　　　　　　　　　　　　　</v>
      </c>
      <c r="L3091" s="1"/>
    </row>
    <row r="3092" spans="1:12" ht="18" customHeight="1" x14ac:dyDescent="0.15">
      <c r="A3092" s="11">
        <v>3230</v>
      </c>
      <c r="B3092" s="11" t="s">
        <v>70</v>
      </c>
      <c r="C3092" s="11" t="s">
        <v>176</v>
      </c>
      <c r="D3092" s="11">
        <v>1</v>
      </c>
      <c r="E3092" s="11" t="s">
        <v>4</v>
      </c>
      <c r="F3092" s="12">
        <v>107400</v>
      </c>
      <c r="G3092" s="12">
        <v>107400</v>
      </c>
      <c r="H3092" s="11" t="str">
        <f t="shared" si="100"/>
        <v>平成6年9月14日</v>
      </c>
      <c r="I3092" s="22">
        <f t="shared" si="101"/>
        <v>34591</v>
      </c>
      <c r="J3092" s="1" t="str">
        <f>"00742858"</f>
        <v>00742858</v>
      </c>
      <c r="K3092" s="1" t="str">
        <f>"３９３　　　　　　　　　　　　　　　　　"</f>
        <v>３９３　　　　　　　　　　　　　　　　　</v>
      </c>
      <c r="L3092" s="1"/>
    </row>
    <row r="3093" spans="1:12" ht="18" customHeight="1" x14ac:dyDescent="0.15">
      <c r="A3093" s="11">
        <v>3231</v>
      </c>
      <c r="B3093" s="11" t="s">
        <v>70</v>
      </c>
      <c r="C3093" s="11" t="s">
        <v>177</v>
      </c>
      <c r="D3093" s="11">
        <v>1</v>
      </c>
      <c r="E3093" s="11" t="s">
        <v>4</v>
      </c>
      <c r="F3093" s="12">
        <v>215000</v>
      </c>
      <c r="G3093" s="12">
        <v>215000</v>
      </c>
      <c r="H3093" s="11" t="str">
        <f t="shared" si="100"/>
        <v>平成6年9月14日</v>
      </c>
      <c r="I3093" s="22">
        <f t="shared" si="101"/>
        <v>34591</v>
      </c>
      <c r="J3093" s="1" t="str">
        <f>"00742861"</f>
        <v>00742861</v>
      </c>
      <c r="K3093" s="1" t="str">
        <f>"３９４　　　　　　　　　　　　　　　　　"</f>
        <v>３９４　　　　　　　　　　　　　　　　　</v>
      </c>
      <c r="L3093" s="1"/>
    </row>
    <row r="3094" spans="1:12" ht="18" customHeight="1" x14ac:dyDescent="0.15">
      <c r="A3094" s="11">
        <v>3232</v>
      </c>
      <c r="B3094" s="11" t="s">
        <v>70</v>
      </c>
      <c r="C3094" s="11" t="s">
        <v>177</v>
      </c>
      <c r="D3094" s="11">
        <v>1</v>
      </c>
      <c r="E3094" s="11" t="s">
        <v>4</v>
      </c>
      <c r="F3094" s="12">
        <v>215000</v>
      </c>
      <c r="G3094" s="12">
        <v>215000</v>
      </c>
      <c r="H3094" s="11" t="str">
        <f t="shared" si="100"/>
        <v>平成6年9月14日</v>
      </c>
      <c r="I3094" s="22">
        <f t="shared" si="101"/>
        <v>34591</v>
      </c>
      <c r="J3094" s="1" t="str">
        <f>"00742863"</f>
        <v>00742863</v>
      </c>
      <c r="K3094" s="1" t="str">
        <f>"３９５　　　　　　　　　　　　　　　　　"</f>
        <v>３９５　　　　　　　　　　　　　　　　　</v>
      </c>
      <c r="L3094" s="1"/>
    </row>
    <row r="3095" spans="1:12" ht="18" customHeight="1" x14ac:dyDescent="0.15">
      <c r="A3095" s="11">
        <v>3233</v>
      </c>
      <c r="B3095" s="11" t="s">
        <v>70</v>
      </c>
      <c r="C3095" s="11" t="s">
        <v>177</v>
      </c>
      <c r="D3095" s="11">
        <v>1</v>
      </c>
      <c r="E3095" s="11" t="s">
        <v>4</v>
      </c>
      <c r="F3095" s="12">
        <v>215000</v>
      </c>
      <c r="G3095" s="12">
        <v>215000</v>
      </c>
      <c r="H3095" s="11" t="str">
        <f t="shared" si="100"/>
        <v>平成6年9月14日</v>
      </c>
      <c r="I3095" s="22">
        <f t="shared" si="101"/>
        <v>34591</v>
      </c>
      <c r="J3095" s="1" t="str">
        <f>"00742865"</f>
        <v>00742865</v>
      </c>
      <c r="K3095" s="1" t="str">
        <f>"３９６　　　　　　　　　　　　　　　　　"</f>
        <v>３９６　　　　　　　　　　　　　　　　　</v>
      </c>
      <c r="L3095" s="1"/>
    </row>
    <row r="3096" spans="1:12" ht="18" customHeight="1" x14ac:dyDescent="0.15">
      <c r="A3096" s="11">
        <v>3234</v>
      </c>
      <c r="B3096" s="11" t="s">
        <v>70</v>
      </c>
      <c r="C3096" s="11" t="s">
        <v>177</v>
      </c>
      <c r="D3096" s="11">
        <v>1</v>
      </c>
      <c r="E3096" s="11" t="s">
        <v>4</v>
      </c>
      <c r="F3096" s="12">
        <v>215000</v>
      </c>
      <c r="G3096" s="12">
        <v>215000</v>
      </c>
      <c r="H3096" s="11" t="str">
        <f t="shared" si="100"/>
        <v>平成6年9月14日</v>
      </c>
      <c r="I3096" s="22">
        <f t="shared" si="101"/>
        <v>34591</v>
      </c>
      <c r="J3096" s="1" t="str">
        <f>"00742867"</f>
        <v>00742867</v>
      </c>
      <c r="K3096" s="1" t="str">
        <f>"３９７　　　　　　　　　　　　　　　　　"</f>
        <v>３９７　　　　　　　　　　　　　　　　　</v>
      </c>
      <c r="L3096" s="1"/>
    </row>
    <row r="3097" spans="1:12" ht="18" customHeight="1" x14ac:dyDescent="0.15">
      <c r="A3097" s="11">
        <v>3235</v>
      </c>
      <c r="B3097" s="11" t="s">
        <v>70</v>
      </c>
      <c r="C3097" s="11" t="s">
        <v>177</v>
      </c>
      <c r="D3097" s="11">
        <v>1</v>
      </c>
      <c r="E3097" s="11" t="s">
        <v>4</v>
      </c>
      <c r="F3097" s="12">
        <v>215000</v>
      </c>
      <c r="G3097" s="12">
        <v>215000</v>
      </c>
      <c r="H3097" s="11" t="str">
        <f t="shared" si="100"/>
        <v>平成6年9月14日</v>
      </c>
      <c r="I3097" s="22">
        <f t="shared" si="101"/>
        <v>34591</v>
      </c>
      <c r="J3097" s="1" t="str">
        <f>"00742869"</f>
        <v>00742869</v>
      </c>
      <c r="K3097" s="1" t="str">
        <f>"３９８　　　　　　　　　　　　　　　　　"</f>
        <v>３９８　　　　　　　　　　　　　　　　　</v>
      </c>
      <c r="L3097" s="1"/>
    </row>
    <row r="3098" spans="1:12" ht="18" customHeight="1" x14ac:dyDescent="0.15">
      <c r="A3098" s="11">
        <v>3236</v>
      </c>
      <c r="B3098" s="11" t="s">
        <v>70</v>
      </c>
      <c r="C3098" s="11" t="s">
        <v>177</v>
      </c>
      <c r="D3098" s="11">
        <v>1</v>
      </c>
      <c r="E3098" s="11" t="s">
        <v>4</v>
      </c>
      <c r="F3098" s="12">
        <v>215000</v>
      </c>
      <c r="G3098" s="12">
        <v>215000</v>
      </c>
      <c r="H3098" s="11" t="str">
        <f t="shared" si="100"/>
        <v>平成6年9月14日</v>
      </c>
      <c r="I3098" s="22">
        <f t="shared" si="101"/>
        <v>34591</v>
      </c>
      <c r="J3098" s="1" t="str">
        <f>"00742871"</f>
        <v>00742871</v>
      </c>
      <c r="K3098" s="1" t="str">
        <f>"３９９　　　　　　　　　　　　　　　　　"</f>
        <v>３９９　　　　　　　　　　　　　　　　　</v>
      </c>
      <c r="L3098" s="1"/>
    </row>
    <row r="3099" spans="1:12" ht="18" customHeight="1" x14ac:dyDescent="0.15">
      <c r="A3099" s="11">
        <v>3237</v>
      </c>
      <c r="B3099" s="11" t="s">
        <v>70</v>
      </c>
      <c r="C3099" s="11" t="s">
        <v>177</v>
      </c>
      <c r="D3099" s="11">
        <v>1</v>
      </c>
      <c r="E3099" s="11" t="s">
        <v>4</v>
      </c>
      <c r="F3099" s="12">
        <v>215000</v>
      </c>
      <c r="G3099" s="12">
        <v>215000</v>
      </c>
      <c r="H3099" s="11" t="str">
        <f t="shared" si="100"/>
        <v>平成6年9月14日</v>
      </c>
      <c r="I3099" s="22">
        <f t="shared" si="101"/>
        <v>34591</v>
      </c>
      <c r="J3099" s="1" t="str">
        <f>"00742873"</f>
        <v>00742873</v>
      </c>
      <c r="K3099" s="1" t="str">
        <f>"４００　　　　　　　　　　　　　　　　　"</f>
        <v>４００　　　　　　　　　　　　　　　　　</v>
      </c>
      <c r="L3099" s="1"/>
    </row>
    <row r="3100" spans="1:12" ht="18" customHeight="1" x14ac:dyDescent="0.15">
      <c r="A3100" s="11">
        <v>3238</v>
      </c>
      <c r="B3100" s="11" t="s">
        <v>70</v>
      </c>
      <c r="C3100" s="11" t="s">
        <v>177</v>
      </c>
      <c r="D3100" s="11">
        <v>1</v>
      </c>
      <c r="E3100" s="11" t="s">
        <v>4</v>
      </c>
      <c r="F3100" s="12">
        <v>215000</v>
      </c>
      <c r="G3100" s="12">
        <v>215000</v>
      </c>
      <c r="H3100" s="11" t="str">
        <f t="shared" si="100"/>
        <v>平成6年9月14日</v>
      </c>
      <c r="I3100" s="22">
        <f t="shared" si="101"/>
        <v>34591</v>
      </c>
      <c r="J3100" s="1" t="str">
        <f>"00742875"</f>
        <v>00742875</v>
      </c>
      <c r="K3100" s="1" t="str">
        <f>"４０１　　　　　　　　　　　　　　　　　"</f>
        <v>４０１　　　　　　　　　　　　　　　　　</v>
      </c>
      <c r="L3100" s="1"/>
    </row>
    <row r="3101" spans="1:12" ht="18" customHeight="1" x14ac:dyDescent="0.15">
      <c r="A3101" s="11">
        <v>3239</v>
      </c>
      <c r="B3101" s="11" t="s">
        <v>70</v>
      </c>
      <c r="C3101" s="11" t="s">
        <v>178</v>
      </c>
      <c r="D3101" s="11">
        <v>1</v>
      </c>
      <c r="E3101" s="11" t="s">
        <v>4</v>
      </c>
      <c r="F3101" s="12">
        <v>89710</v>
      </c>
      <c r="G3101" s="12">
        <v>89710</v>
      </c>
      <c r="H3101" s="11" t="str">
        <f t="shared" si="100"/>
        <v>平成6年9月14日</v>
      </c>
      <c r="I3101" s="22">
        <f t="shared" si="101"/>
        <v>34591</v>
      </c>
      <c r="J3101" s="1" t="str">
        <f>"00742877"</f>
        <v>00742877</v>
      </c>
      <c r="K3101" s="1" t="str">
        <f>"４０２　　　　　　　　　　　　　　　　　"</f>
        <v>４０２　　　　　　　　　　　　　　　　　</v>
      </c>
      <c r="L3101" s="1"/>
    </row>
    <row r="3102" spans="1:12" ht="18" customHeight="1" x14ac:dyDescent="0.15">
      <c r="A3102" s="11">
        <v>3240</v>
      </c>
      <c r="B3102" s="11" t="s">
        <v>70</v>
      </c>
      <c r="C3102" s="11" t="s">
        <v>178</v>
      </c>
      <c r="D3102" s="11">
        <v>1</v>
      </c>
      <c r="E3102" s="11" t="s">
        <v>4</v>
      </c>
      <c r="F3102" s="12">
        <v>89710</v>
      </c>
      <c r="G3102" s="12">
        <v>89710</v>
      </c>
      <c r="H3102" s="11" t="str">
        <f t="shared" si="100"/>
        <v>平成6年9月14日</v>
      </c>
      <c r="I3102" s="22">
        <f t="shared" si="101"/>
        <v>34591</v>
      </c>
      <c r="J3102" s="1" t="str">
        <f>"00742878"</f>
        <v>00742878</v>
      </c>
      <c r="K3102" s="1" t="str">
        <f>"４０３　　　　　　　　　　　　　　　　　"</f>
        <v>４０３　　　　　　　　　　　　　　　　　</v>
      </c>
      <c r="L3102" s="1"/>
    </row>
    <row r="3103" spans="1:12" ht="18" customHeight="1" x14ac:dyDescent="0.15">
      <c r="A3103" s="11">
        <v>3241</v>
      </c>
      <c r="B3103" s="11" t="s">
        <v>70</v>
      </c>
      <c r="C3103" s="11" t="s">
        <v>178</v>
      </c>
      <c r="D3103" s="11">
        <v>1</v>
      </c>
      <c r="E3103" s="11" t="s">
        <v>4</v>
      </c>
      <c r="F3103" s="12">
        <v>89710</v>
      </c>
      <c r="G3103" s="12">
        <v>89710</v>
      </c>
      <c r="H3103" s="11" t="str">
        <f t="shared" si="100"/>
        <v>平成6年9月14日</v>
      </c>
      <c r="I3103" s="22">
        <f t="shared" si="101"/>
        <v>34591</v>
      </c>
      <c r="J3103" s="1" t="str">
        <f>"00742881"</f>
        <v>00742881</v>
      </c>
      <c r="K3103" s="1" t="str">
        <f>"４０４　　　　　　　　　　　　　　　　　"</f>
        <v>４０４　　　　　　　　　　　　　　　　　</v>
      </c>
      <c r="L3103" s="1"/>
    </row>
    <row r="3104" spans="1:12" ht="18" customHeight="1" x14ac:dyDescent="0.15">
      <c r="A3104" s="11">
        <v>3242</v>
      </c>
      <c r="B3104" s="11" t="s">
        <v>70</v>
      </c>
      <c r="C3104" s="11" t="s">
        <v>178</v>
      </c>
      <c r="D3104" s="11">
        <v>1</v>
      </c>
      <c r="E3104" s="11" t="s">
        <v>4</v>
      </c>
      <c r="F3104" s="12">
        <v>89710</v>
      </c>
      <c r="G3104" s="12">
        <v>89710</v>
      </c>
      <c r="H3104" s="11" t="str">
        <f t="shared" si="100"/>
        <v>平成6年9月14日</v>
      </c>
      <c r="I3104" s="22">
        <f t="shared" si="101"/>
        <v>34591</v>
      </c>
      <c r="J3104" s="1" t="str">
        <f>"00742883"</f>
        <v>00742883</v>
      </c>
      <c r="K3104" s="1" t="str">
        <f>"４０５　　　　　　　　　　　　　　　　　"</f>
        <v>４０５　　　　　　　　　　　　　　　　　</v>
      </c>
      <c r="L3104" s="1"/>
    </row>
    <row r="3105" spans="1:12" ht="18" customHeight="1" x14ac:dyDescent="0.15">
      <c r="A3105" s="11">
        <v>3243</v>
      </c>
      <c r="B3105" s="11" t="s">
        <v>70</v>
      </c>
      <c r="C3105" s="11" t="s">
        <v>178</v>
      </c>
      <c r="D3105" s="11">
        <v>1</v>
      </c>
      <c r="E3105" s="11" t="s">
        <v>4</v>
      </c>
      <c r="F3105" s="12">
        <v>89710</v>
      </c>
      <c r="G3105" s="12">
        <v>89710</v>
      </c>
      <c r="H3105" s="11" t="str">
        <f t="shared" si="100"/>
        <v>平成6年9月14日</v>
      </c>
      <c r="I3105" s="22">
        <f t="shared" si="101"/>
        <v>34591</v>
      </c>
      <c r="J3105" s="1" t="str">
        <f>"00742885"</f>
        <v>00742885</v>
      </c>
      <c r="K3105" s="1" t="str">
        <f>"４０６　　　　　　　　　　　　　　　　　"</f>
        <v>４０６　　　　　　　　　　　　　　　　　</v>
      </c>
      <c r="L3105" s="1"/>
    </row>
    <row r="3106" spans="1:12" ht="18" customHeight="1" x14ac:dyDescent="0.15">
      <c r="A3106" s="11">
        <v>3244</v>
      </c>
      <c r="B3106" s="11" t="s">
        <v>70</v>
      </c>
      <c r="C3106" s="11" t="s">
        <v>178</v>
      </c>
      <c r="D3106" s="11">
        <v>1</v>
      </c>
      <c r="E3106" s="11" t="s">
        <v>4</v>
      </c>
      <c r="F3106" s="12">
        <v>89710</v>
      </c>
      <c r="G3106" s="12">
        <v>89710</v>
      </c>
      <c r="H3106" s="11" t="str">
        <f t="shared" si="100"/>
        <v>平成6年9月14日</v>
      </c>
      <c r="I3106" s="22">
        <f t="shared" si="101"/>
        <v>34591</v>
      </c>
      <c r="J3106" s="1" t="str">
        <f>"00742887"</f>
        <v>00742887</v>
      </c>
      <c r="K3106" s="1" t="str">
        <f>"４０７　　　　　　　　　　　　　　　　　"</f>
        <v>４０７　　　　　　　　　　　　　　　　　</v>
      </c>
      <c r="L3106" s="1"/>
    </row>
    <row r="3107" spans="1:12" ht="18" customHeight="1" x14ac:dyDescent="0.15">
      <c r="A3107" s="11">
        <v>3245</v>
      </c>
      <c r="B3107" s="11" t="s">
        <v>70</v>
      </c>
      <c r="C3107" s="11" t="s">
        <v>179</v>
      </c>
      <c r="D3107" s="11">
        <v>1</v>
      </c>
      <c r="E3107" s="11" t="s">
        <v>4</v>
      </c>
      <c r="F3107" s="12">
        <v>41470</v>
      </c>
      <c r="G3107" s="12">
        <v>41470</v>
      </c>
      <c r="H3107" s="11" t="str">
        <f t="shared" si="100"/>
        <v>平成6年9月14日</v>
      </c>
      <c r="I3107" s="22">
        <f t="shared" si="101"/>
        <v>34591</v>
      </c>
      <c r="J3107" s="1" t="str">
        <f>"00742889"</f>
        <v>00742889</v>
      </c>
      <c r="K3107" s="1" t="str">
        <f>"４０８　　　　　　　　　　　　　　　　　"</f>
        <v>４０８　　　　　　　　　　　　　　　　　</v>
      </c>
      <c r="L3107" s="1"/>
    </row>
    <row r="3108" spans="1:12" ht="18" customHeight="1" x14ac:dyDescent="0.15">
      <c r="A3108" s="11">
        <v>3246</v>
      </c>
      <c r="B3108" s="11" t="s">
        <v>70</v>
      </c>
      <c r="C3108" s="11" t="s">
        <v>179</v>
      </c>
      <c r="D3108" s="11">
        <v>1</v>
      </c>
      <c r="E3108" s="11" t="s">
        <v>4</v>
      </c>
      <c r="F3108" s="12">
        <v>41470</v>
      </c>
      <c r="G3108" s="12">
        <v>41470</v>
      </c>
      <c r="H3108" s="11" t="str">
        <f t="shared" si="100"/>
        <v>平成6年9月14日</v>
      </c>
      <c r="I3108" s="22">
        <f t="shared" si="101"/>
        <v>34591</v>
      </c>
      <c r="J3108" s="1" t="str">
        <f>"00742891"</f>
        <v>00742891</v>
      </c>
      <c r="K3108" s="1" t="str">
        <f>"４０９　　　　　　　　　　　　　　　　　"</f>
        <v>４０９　　　　　　　　　　　　　　　　　</v>
      </c>
      <c r="L3108" s="1"/>
    </row>
    <row r="3109" spans="1:12" ht="18" customHeight="1" x14ac:dyDescent="0.15">
      <c r="A3109" s="11">
        <v>3247</v>
      </c>
      <c r="B3109" s="11" t="s">
        <v>70</v>
      </c>
      <c r="C3109" s="11" t="s">
        <v>179</v>
      </c>
      <c r="D3109" s="11">
        <v>1</v>
      </c>
      <c r="E3109" s="11" t="s">
        <v>4</v>
      </c>
      <c r="F3109" s="12">
        <v>41470</v>
      </c>
      <c r="G3109" s="12">
        <v>41470</v>
      </c>
      <c r="H3109" s="11" t="str">
        <f t="shared" si="100"/>
        <v>平成6年9月14日</v>
      </c>
      <c r="I3109" s="22">
        <f t="shared" si="101"/>
        <v>34591</v>
      </c>
      <c r="J3109" s="1" t="str">
        <f>"00742893"</f>
        <v>00742893</v>
      </c>
      <c r="K3109" s="1" t="str">
        <f>"４１０　　　　　　　　　　　　　　　　　"</f>
        <v>４１０　　　　　　　　　　　　　　　　　</v>
      </c>
      <c r="L3109" s="1"/>
    </row>
    <row r="3110" spans="1:12" ht="18" customHeight="1" x14ac:dyDescent="0.15">
      <c r="A3110" s="11">
        <v>3248</v>
      </c>
      <c r="B3110" s="11" t="s">
        <v>70</v>
      </c>
      <c r="C3110" s="11" t="s">
        <v>179</v>
      </c>
      <c r="D3110" s="11">
        <v>1</v>
      </c>
      <c r="E3110" s="11" t="s">
        <v>4</v>
      </c>
      <c r="F3110" s="12">
        <v>41470</v>
      </c>
      <c r="G3110" s="12">
        <v>41470</v>
      </c>
      <c r="H3110" s="11" t="str">
        <f t="shared" si="100"/>
        <v>平成6年9月14日</v>
      </c>
      <c r="I3110" s="22">
        <f t="shared" si="101"/>
        <v>34591</v>
      </c>
      <c r="J3110" s="1" t="str">
        <f>"00742895"</f>
        <v>00742895</v>
      </c>
      <c r="K3110" s="1" t="str">
        <f>"４１１　　　　　　　　　　　　　　　　　"</f>
        <v>４１１　　　　　　　　　　　　　　　　　</v>
      </c>
      <c r="L3110" s="1"/>
    </row>
    <row r="3111" spans="1:12" ht="18" customHeight="1" x14ac:dyDescent="0.15">
      <c r="A3111" s="11">
        <v>3249</v>
      </c>
      <c r="B3111" s="11" t="s">
        <v>70</v>
      </c>
      <c r="C3111" s="11" t="s">
        <v>179</v>
      </c>
      <c r="D3111" s="11">
        <v>1</v>
      </c>
      <c r="E3111" s="11" t="s">
        <v>4</v>
      </c>
      <c r="F3111" s="12">
        <v>41470</v>
      </c>
      <c r="G3111" s="12">
        <v>41470</v>
      </c>
      <c r="H3111" s="11" t="str">
        <f t="shared" si="100"/>
        <v>平成6年9月14日</v>
      </c>
      <c r="I3111" s="22">
        <f t="shared" si="101"/>
        <v>34591</v>
      </c>
      <c r="J3111" s="1" t="str">
        <f>"00742897"</f>
        <v>00742897</v>
      </c>
      <c r="K3111" s="1" t="str">
        <f>"４１２　　　　　　　　　　　　　　　　　"</f>
        <v>４１２　　　　　　　　　　　　　　　　　</v>
      </c>
      <c r="L3111" s="1"/>
    </row>
    <row r="3112" spans="1:12" ht="18" customHeight="1" x14ac:dyDescent="0.15">
      <c r="A3112" s="11">
        <v>3250</v>
      </c>
      <c r="B3112" s="11" t="s">
        <v>70</v>
      </c>
      <c r="C3112" s="11" t="s">
        <v>179</v>
      </c>
      <c r="D3112" s="11">
        <v>1</v>
      </c>
      <c r="E3112" s="11" t="s">
        <v>4</v>
      </c>
      <c r="F3112" s="12">
        <v>41470</v>
      </c>
      <c r="G3112" s="12">
        <v>41470</v>
      </c>
      <c r="H3112" s="11" t="str">
        <f t="shared" si="100"/>
        <v>平成6年9月14日</v>
      </c>
      <c r="I3112" s="22">
        <f t="shared" si="101"/>
        <v>34591</v>
      </c>
      <c r="J3112" s="1" t="str">
        <f>"00742899"</f>
        <v>00742899</v>
      </c>
      <c r="K3112" s="1" t="str">
        <f>"４１３　　　　　　　　　　　　　　　　　"</f>
        <v>４１３　　　　　　　　　　　　　　　　　</v>
      </c>
      <c r="L3112" s="1"/>
    </row>
    <row r="3113" spans="1:12" ht="18" customHeight="1" x14ac:dyDescent="0.15">
      <c r="A3113" s="11">
        <v>3251</v>
      </c>
      <c r="B3113" s="11" t="s">
        <v>70</v>
      </c>
      <c r="C3113" s="11" t="s">
        <v>180</v>
      </c>
      <c r="D3113" s="11">
        <v>1</v>
      </c>
      <c r="E3113" s="11" t="s">
        <v>4</v>
      </c>
      <c r="F3113" s="12">
        <v>125866</v>
      </c>
      <c r="G3113" s="12">
        <v>125866</v>
      </c>
      <c r="H3113" s="11" t="str">
        <f t="shared" si="100"/>
        <v>平成6年9月14日</v>
      </c>
      <c r="I3113" s="22">
        <f t="shared" si="101"/>
        <v>34591</v>
      </c>
      <c r="J3113" s="1" t="str">
        <f>"00742901"</f>
        <v>00742901</v>
      </c>
      <c r="K3113" s="1" t="str">
        <f>"４１４　　　　　　　　　　　　　　　　　"</f>
        <v>４１４　　　　　　　　　　　　　　　　　</v>
      </c>
      <c r="L3113" s="1"/>
    </row>
    <row r="3114" spans="1:12" ht="18" customHeight="1" x14ac:dyDescent="0.15">
      <c r="A3114" s="11">
        <v>3252</v>
      </c>
      <c r="B3114" s="11" t="s">
        <v>70</v>
      </c>
      <c r="C3114" s="11" t="s">
        <v>180</v>
      </c>
      <c r="D3114" s="11">
        <v>1</v>
      </c>
      <c r="E3114" s="11" t="s">
        <v>4</v>
      </c>
      <c r="F3114" s="12">
        <v>125866</v>
      </c>
      <c r="G3114" s="12">
        <v>125866</v>
      </c>
      <c r="H3114" s="11" t="str">
        <f t="shared" si="100"/>
        <v>平成6年9月14日</v>
      </c>
      <c r="I3114" s="22">
        <f t="shared" si="101"/>
        <v>34591</v>
      </c>
      <c r="J3114" s="1" t="str">
        <f>"00742903"</f>
        <v>00742903</v>
      </c>
      <c r="K3114" s="1" t="str">
        <f>"４１５　　　　　　　　　　　　　　　　　"</f>
        <v>４１５　　　　　　　　　　　　　　　　　</v>
      </c>
      <c r="L3114" s="1"/>
    </row>
    <row r="3115" spans="1:12" ht="18" customHeight="1" x14ac:dyDescent="0.15">
      <c r="A3115" s="11">
        <v>3253</v>
      </c>
      <c r="B3115" s="11" t="s">
        <v>70</v>
      </c>
      <c r="C3115" s="11" t="s">
        <v>180</v>
      </c>
      <c r="D3115" s="11">
        <v>1</v>
      </c>
      <c r="E3115" s="11" t="s">
        <v>4</v>
      </c>
      <c r="F3115" s="12">
        <v>125866</v>
      </c>
      <c r="G3115" s="12">
        <v>125866</v>
      </c>
      <c r="H3115" s="11" t="str">
        <f t="shared" si="100"/>
        <v>平成6年9月14日</v>
      </c>
      <c r="I3115" s="22">
        <f t="shared" si="101"/>
        <v>34591</v>
      </c>
      <c r="J3115" s="1" t="str">
        <f>"00742905"</f>
        <v>00742905</v>
      </c>
      <c r="K3115" s="1" t="str">
        <f>"４１６　　　　　　　　　　　　　　　　　"</f>
        <v>４１６　　　　　　　　　　　　　　　　　</v>
      </c>
      <c r="L3115" s="1"/>
    </row>
    <row r="3116" spans="1:12" ht="18" customHeight="1" x14ac:dyDescent="0.15">
      <c r="A3116" s="11">
        <v>3319</v>
      </c>
      <c r="B3116" s="11" t="s">
        <v>54</v>
      </c>
      <c r="C3116" s="11" t="s">
        <v>184</v>
      </c>
      <c r="D3116" s="11">
        <v>1</v>
      </c>
      <c r="E3116" s="11" t="s">
        <v>4</v>
      </c>
      <c r="F3116" s="12">
        <v>199900</v>
      </c>
      <c r="G3116" s="12">
        <v>199900</v>
      </c>
      <c r="H3116" s="11" t="str">
        <f t="shared" si="100"/>
        <v>平成6年9月14日</v>
      </c>
      <c r="I3116" s="22">
        <f t="shared" si="101"/>
        <v>34591</v>
      </c>
      <c r="J3116" s="1" t="str">
        <f>"00743057"</f>
        <v>00743057</v>
      </c>
      <c r="K3116" s="1" t="str">
        <f>"４０６　　　　　　　　　　　　　　　　　"</f>
        <v>４０６　　　　　　　　　　　　　　　　　</v>
      </c>
      <c r="L3116" s="1"/>
    </row>
    <row r="3117" spans="1:12" ht="18" customHeight="1" x14ac:dyDescent="0.15">
      <c r="A3117" s="11">
        <v>3320</v>
      </c>
      <c r="B3117" s="11" t="s">
        <v>54</v>
      </c>
      <c r="C3117" s="11" t="s">
        <v>184</v>
      </c>
      <c r="D3117" s="11">
        <v>1</v>
      </c>
      <c r="E3117" s="11" t="s">
        <v>4</v>
      </c>
      <c r="F3117" s="12">
        <v>199900</v>
      </c>
      <c r="G3117" s="12">
        <v>199900</v>
      </c>
      <c r="H3117" s="11" t="str">
        <f t="shared" si="100"/>
        <v>平成6年9月14日</v>
      </c>
      <c r="I3117" s="22">
        <f t="shared" si="101"/>
        <v>34591</v>
      </c>
      <c r="J3117" s="1" t="str">
        <f>"00743059"</f>
        <v>00743059</v>
      </c>
      <c r="K3117" s="1" t="str">
        <f>"４０７　　　　　　　　　　　　　　　　　"</f>
        <v>４０７　　　　　　　　　　　　　　　　　</v>
      </c>
      <c r="L3117" s="1"/>
    </row>
    <row r="3118" spans="1:12" ht="18" customHeight="1" x14ac:dyDescent="0.15">
      <c r="A3118" s="11">
        <v>3321</v>
      </c>
      <c r="B3118" s="11" t="s">
        <v>54</v>
      </c>
      <c r="C3118" s="11" t="s">
        <v>184</v>
      </c>
      <c r="D3118" s="11">
        <v>1</v>
      </c>
      <c r="E3118" s="11" t="s">
        <v>4</v>
      </c>
      <c r="F3118" s="12">
        <v>199900</v>
      </c>
      <c r="G3118" s="12">
        <v>199900</v>
      </c>
      <c r="H3118" s="11" t="str">
        <f t="shared" si="100"/>
        <v>平成6年9月14日</v>
      </c>
      <c r="I3118" s="22">
        <f t="shared" si="101"/>
        <v>34591</v>
      </c>
      <c r="J3118" s="1" t="str">
        <f>"00743061"</f>
        <v>00743061</v>
      </c>
      <c r="K3118" s="1" t="str">
        <f>"４０８　　　　　　　　　　　　　　　　　"</f>
        <v>４０８　　　　　　　　　　　　　　　　　</v>
      </c>
      <c r="L3118" s="1"/>
    </row>
    <row r="3119" spans="1:12" ht="18" customHeight="1" x14ac:dyDescent="0.15">
      <c r="A3119" s="11">
        <v>3322</v>
      </c>
      <c r="B3119" s="11" t="s">
        <v>54</v>
      </c>
      <c r="C3119" s="11" t="s">
        <v>184</v>
      </c>
      <c r="D3119" s="11">
        <v>1</v>
      </c>
      <c r="E3119" s="11" t="s">
        <v>4</v>
      </c>
      <c r="F3119" s="12">
        <v>199900</v>
      </c>
      <c r="G3119" s="12">
        <v>199900</v>
      </c>
      <c r="H3119" s="11" t="str">
        <f t="shared" si="100"/>
        <v>平成6年9月14日</v>
      </c>
      <c r="I3119" s="22">
        <f t="shared" si="101"/>
        <v>34591</v>
      </c>
      <c r="J3119" s="1" t="str">
        <f>"00743063"</f>
        <v>00743063</v>
      </c>
      <c r="K3119" s="1" t="str">
        <f>"４０９　　　　　　　　　　　　　　　　　"</f>
        <v>４０９　　　　　　　　　　　　　　　　　</v>
      </c>
      <c r="L3119" s="1"/>
    </row>
    <row r="3120" spans="1:12" ht="18" customHeight="1" x14ac:dyDescent="0.15">
      <c r="A3120" s="11">
        <v>3323</v>
      </c>
      <c r="B3120" s="11" t="s">
        <v>54</v>
      </c>
      <c r="C3120" s="11" t="s">
        <v>184</v>
      </c>
      <c r="D3120" s="11">
        <v>1</v>
      </c>
      <c r="E3120" s="11" t="s">
        <v>4</v>
      </c>
      <c r="F3120" s="12">
        <v>199900</v>
      </c>
      <c r="G3120" s="12">
        <v>199900</v>
      </c>
      <c r="H3120" s="11" t="str">
        <f t="shared" si="100"/>
        <v>平成6年9月14日</v>
      </c>
      <c r="I3120" s="22">
        <f t="shared" si="101"/>
        <v>34591</v>
      </c>
      <c r="J3120" s="1" t="str">
        <f>"00743065"</f>
        <v>00743065</v>
      </c>
      <c r="K3120" s="1" t="str">
        <f>"４１０　　　　　　　　　　　　　　　　　"</f>
        <v>４１０　　　　　　　　　　　　　　　　　</v>
      </c>
      <c r="L3120" s="1"/>
    </row>
    <row r="3121" spans="1:12" ht="18" customHeight="1" x14ac:dyDescent="0.15">
      <c r="A3121" s="11">
        <v>3324</v>
      </c>
      <c r="B3121" s="11" t="s">
        <v>54</v>
      </c>
      <c r="C3121" s="11" t="s">
        <v>184</v>
      </c>
      <c r="D3121" s="11">
        <v>1</v>
      </c>
      <c r="E3121" s="11" t="s">
        <v>4</v>
      </c>
      <c r="F3121" s="12">
        <v>199900</v>
      </c>
      <c r="G3121" s="12">
        <v>199900</v>
      </c>
      <c r="H3121" s="11" t="str">
        <f t="shared" si="100"/>
        <v>平成6年9月14日</v>
      </c>
      <c r="I3121" s="22">
        <f t="shared" si="101"/>
        <v>34591</v>
      </c>
      <c r="J3121" s="1" t="str">
        <f>"00743067"</f>
        <v>00743067</v>
      </c>
      <c r="K3121" s="1" t="str">
        <f>"４１１　　　　　　　　　　　　　　　　　"</f>
        <v>４１１　　　　　　　　　　　　　　　　　</v>
      </c>
      <c r="L3121" s="1"/>
    </row>
    <row r="3122" spans="1:12" ht="18" customHeight="1" x14ac:dyDescent="0.15">
      <c r="A3122" s="11">
        <v>3325</v>
      </c>
      <c r="B3122" s="11" t="s">
        <v>54</v>
      </c>
      <c r="C3122" s="11" t="s">
        <v>184</v>
      </c>
      <c r="D3122" s="11">
        <v>1</v>
      </c>
      <c r="E3122" s="11" t="s">
        <v>4</v>
      </c>
      <c r="F3122" s="12">
        <v>199900</v>
      </c>
      <c r="G3122" s="12">
        <v>199900</v>
      </c>
      <c r="H3122" s="11" t="str">
        <f t="shared" si="100"/>
        <v>平成6年9月14日</v>
      </c>
      <c r="I3122" s="22">
        <f t="shared" si="101"/>
        <v>34591</v>
      </c>
      <c r="J3122" s="1" t="str">
        <f>"00743069"</f>
        <v>00743069</v>
      </c>
      <c r="K3122" s="1" t="str">
        <f>"４１２　　　　　　　　　　　　　　　　　"</f>
        <v>４１２　　　　　　　　　　　　　　　　　</v>
      </c>
      <c r="L3122" s="1"/>
    </row>
    <row r="3123" spans="1:12" ht="18" customHeight="1" x14ac:dyDescent="0.15">
      <c r="A3123" s="11">
        <v>3326</v>
      </c>
      <c r="B3123" s="11" t="s">
        <v>54</v>
      </c>
      <c r="C3123" s="11" t="s">
        <v>184</v>
      </c>
      <c r="D3123" s="11">
        <v>1</v>
      </c>
      <c r="E3123" s="11" t="s">
        <v>4</v>
      </c>
      <c r="F3123" s="12">
        <v>199900</v>
      </c>
      <c r="G3123" s="12">
        <v>199900</v>
      </c>
      <c r="H3123" s="11" t="str">
        <f t="shared" si="100"/>
        <v>平成6年9月14日</v>
      </c>
      <c r="I3123" s="22">
        <f t="shared" si="101"/>
        <v>34591</v>
      </c>
      <c r="J3123" s="1" t="str">
        <f>"00743071"</f>
        <v>00743071</v>
      </c>
      <c r="K3123" s="1" t="str">
        <f>"４１３　　　　　　　　　　　　　　　　　"</f>
        <v>４１３　　　　　　　　　　　　　　　　　</v>
      </c>
      <c r="L3123" s="1"/>
    </row>
    <row r="3124" spans="1:12" ht="18" customHeight="1" x14ac:dyDescent="0.15">
      <c r="A3124" s="11">
        <v>3327</v>
      </c>
      <c r="B3124" s="11" t="s">
        <v>54</v>
      </c>
      <c r="C3124" s="11" t="s">
        <v>184</v>
      </c>
      <c r="D3124" s="11">
        <v>1</v>
      </c>
      <c r="E3124" s="11" t="s">
        <v>4</v>
      </c>
      <c r="F3124" s="12">
        <v>199900</v>
      </c>
      <c r="G3124" s="12">
        <v>199900</v>
      </c>
      <c r="H3124" s="11" t="str">
        <f t="shared" si="100"/>
        <v>平成6年9月14日</v>
      </c>
      <c r="I3124" s="22">
        <f t="shared" si="101"/>
        <v>34591</v>
      </c>
      <c r="J3124" s="1" t="str">
        <f>"00743073"</f>
        <v>00743073</v>
      </c>
      <c r="K3124" s="1" t="str">
        <f>"４１４　　　　　　　　　　　　　　　　　"</f>
        <v>４１４　　　　　　　　　　　　　　　　　</v>
      </c>
      <c r="L3124" s="1"/>
    </row>
    <row r="3125" spans="1:12" ht="18" customHeight="1" x14ac:dyDescent="0.15">
      <c r="A3125" s="11">
        <v>3328</v>
      </c>
      <c r="B3125" s="11" t="s">
        <v>54</v>
      </c>
      <c r="C3125" s="11" t="s">
        <v>184</v>
      </c>
      <c r="D3125" s="11">
        <v>1</v>
      </c>
      <c r="E3125" s="11" t="s">
        <v>4</v>
      </c>
      <c r="F3125" s="12">
        <v>199900</v>
      </c>
      <c r="G3125" s="12">
        <v>199900</v>
      </c>
      <c r="H3125" s="11" t="str">
        <f t="shared" si="100"/>
        <v>平成6年9月14日</v>
      </c>
      <c r="I3125" s="22">
        <f t="shared" si="101"/>
        <v>34591</v>
      </c>
      <c r="J3125" s="1" t="str">
        <f>"00743075"</f>
        <v>00743075</v>
      </c>
      <c r="K3125" s="1" t="str">
        <f>"４１５　　　　　　　　　　　　　　　　　"</f>
        <v>４１５　　　　　　　　　　　　　　　　　</v>
      </c>
      <c r="L3125" s="1"/>
    </row>
    <row r="3126" spans="1:12" ht="18" customHeight="1" x14ac:dyDescent="0.15">
      <c r="A3126" s="11">
        <v>3329</v>
      </c>
      <c r="B3126" s="11" t="s">
        <v>54</v>
      </c>
      <c r="C3126" s="11" t="s">
        <v>184</v>
      </c>
      <c r="D3126" s="11">
        <v>1</v>
      </c>
      <c r="E3126" s="11" t="s">
        <v>4</v>
      </c>
      <c r="F3126" s="12">
        <v>199900</v>
      </c>
      <c r="G3126" s="12">
        <v>199900</v>
      </c>
      <c r="H3126" s="11" t="str">
        <f t="shared" si="100"/>
        <v>平成6年9月14日</v>
      </c>
      <c r="I3126" s="22">
        <f t="shared" si="101"/>
        <v>34591</v>
      </c>
      <c r="J3126" s="1" t="str">
        <f>"00743077"</f>
        <v>00743077</v>
      </c>
      <c r="K3126" s="1" t="str">
        <f>"４１６　　　　　　　　　　　　　　　　　"</f>
        <v>４１６　　　　　　　　　　　　　　　　　</v>
      </c>
      <c r="L3126" s="1"/>
    </row>
    <row r="3127" spans="1:12" ht="18" customHeight="1" x14ac:dyDescent="0.15">
      <c r="A3127" s="11">
        <v>3330</v>
      </c>
      <c r="B3127" s="11" t="s">
        <v>54</v>
      </c>
      <c r="C3127" s="11" t="s">
        <v>184</v>
      </c>
      <c r="D3127" s="11">
        <v>1</v>
      </c>
      <c r="E3127" s="11" t="s">
        <v>4</v>
      </c>
      <c r="F3127" s="12">
        <v>199900</v>
      </c>
      <c r="G3127" s="12">
        <v>199900</v>
      </c>
      <c r="H3127" s="11" t="str">
        <f t="shared" si="100"/>
        <v>平成6年9月14日</v>
      </c>
      <c r="I3127" s="22">
        <f t="shared" si="101"/>
        <v>34591</v>
      </c>
      <c r="J3127" s="1" t="str">
        <f>"00743079"</f>
        <v>00743079</v>
      </c>
      <c r="K3127" s="1" t="str">
        <f>"４１７　　　　　　　　　　　　　　　　　"</f>
        <v>４１７　　　　　　　　　　　　　　　　　</v>
      </c>
      <c r="L3127" s="1"/>
    </row>
    <row r="3128" spans="1:12" ht="18" customHeight="1" x14ac:dyDescent="0.15">
      <c r="A3128" s="11">
        <v>3331</v>
      </c>
      <c r="B3128" s="11" t="s">
        <v>54</v>
      </c>
      <c r="C3128" s="11" t="s">
        <v>184</v>
      </c>
      <c r="D3128" s="11">
        <v>1</v>
      </c>
      <c r="E3128" s="11" t="s">
        <v>4</v>
      </c>
      <c r="F3128" s="12">
        <v>199900</v>
      </c>
      <c r="G3128" s="12">
        <v>199900</v>
      </c>
      <c r="H3128" s="11" t="str">
        <f t="shared" si="100"/>
        <v>平成6年9月14日</v>
      </c>
      <c r="I3128" s="22">
        <f t="shared" si="101"/>
        <v>34591</v>
      </c>
      <c r="J3128" s="1" t="str">
        <f>"00743081"</f>
        <v>00743081</v>
      </c>
      <c r="K3128" s="1" t="str">
        <f>"４１８　　　　　　　　　　　　　　　　　"</f>
        <v>４１８　　　　　　　　　　　　　　　　　</v>
      </c>
      <c r="L3128" s="1"/>
    </row>
    <row r="3129" spans="1:12" ht="18" customHeight="1" x14ac:dyDescent="0.15">
      <c r="A3129" s="11">
        <v>3332</v>
      </c>
      <c r="B3129" s="11" t="s">
        <v>54</v>
      </c>
      <c r="C3129" s="11" t="s">
        <v>184</v>
      </c>
      <c r="D3129" s="11">
        <v>1</v>
      </c>
      <c r="E3129" s="11" t="s">
        <v>4</v>
      </c>
      <c r="F3129" s="12">
        <v>199900</v>
      </c>
      <c r="G3129" s="12">
        <v>199900</v>
      </c>
      <c r="H3129" s="11" t="str">
        <f t="shared" si="100"/>
        <v>平成6年9月14日</v>
      </c>
      <c r="I3129" s="22">
        <f t="shared" si="101"/>
        <v>34591</v>
      </c>
      <c r="J3129" s="1" t="str">
        <f>"00743083"</f>
        <v>00743083</v>
      </c>
      <c r="K3129" s="1" t="str">
        <f>"４１９　　　　　　　　　　　　　　　　　"</f>
        <v>４１９　　　　　　　　　　　　　　　　　</v>
      </c>
      <c r="L3129" s="1"/>
    </row>
    <row r="3130" spans="1:12" ht="18" customHeight="1" x14ac:dyDescent="0.15">
      <c r="A3130" s="11">
        <v>3333</v>
      </c>
      <c r="B3130" s="11" t="s">
        <v>54</v>
      </c>
      <c r="C3130" s="11" t="s">
        <v>184</v>
      </c>
      <c r="D3130" s="11">
        <v>1</v>
      </c>
      <c r="E3130" s="11" t="s">
        <v>4</v>
      </c>
      <c r="F3130" s="12">
        <v>199900</v>
      </c>
      <c r="G3130" s="12">
        <v>199900</v>
      </c>
      <c r="H3130" s="11" t="str">
        <f t="shared" si="100"/>
        <v>平成6年9月14日</v>
      </c>
      <c r="I3130" s="22">
        <f t="shared" si="101"/>
        <v>34591</v>
      </c>
      <c r="J3130" s="1" t="str">
        <f>"00743085"</f>
        <v>00743085</v>
      </c>
      <c r="K3130" s="1" t="str">
        <f>"４２０　　　　　　　　　　　　　　　　　"</f>
        <v>４２０　　　　　　　　　　　　　　　　　</v>
      </c>
      <c r="L3130" s="1"/>
    </row>
    <row r="3131" spans="1:12" ht="18" customHeight="1" x14ac:dyDescent="0.15">
      <c r="A3131" s="11">
        <v>3334</v>
      </c>
      <c r="B3131" s="11" t="s">
        <v>54</v>
      </c>
      <c r="C3131" s="11" t="s">
        <v>184</v>
      </c>
      <c r="D3131" s="11">
        <v>1</v>
      </c>
      <c r="E3131" s="11" t="s">
        <v>4</v>
      </c>
      <c r="F3131" s="12">
        <v>199900</v>
      </c>
      <c r="G3131" s="12">
        <v>199900</v>
      </c>
      <c r="H3131" s="11" t="str">
        <f t="shared" si="100"/>
        <v>平成6年9月14日</v>
      </c>
      <c r="I3131" s="22">
        <f t="shared" si="101"/>
        <v>34591</v>
      </c>
      <c r="J3131" s="1" t="str">
        <f>"00743087"</f>
        <v>00743087</v>
      </c>
      <c r="K3131" s="1" t="str">
        <f>"４２１　　　　　　　　　　　　　　　　　"</f>
        <v>４２１　　　　　　　　　　　　　　　　　</v>
      </c>
      <c r="L3131" s="1"/>
    </row>
    <row r="3132" spans="1:12" ht="18" customHeight="1" x14ac:dyDescent="0.15">
      <c r="A3132" s="11">
        <v>3335</v>
      </c>
      <c r="B3132" s="11" t="s">
        <v>54</v>
      </c>
      <c r="C3132" s="11" t="s">
        <v>184</v>
      </c>
      <c r="D3132" s="11">
        <v>1</v>
      </c>
      <c r="E3132" s="11" t="s">
        <v>4</v>
      </c>
      <c r="F3132" s="12">
        <v>199900</v>
      </c>
      <c r="G3132" s="12">
        <v>199900</v>
      </c>
      <c r="H3132" s="11" t="str">
        <f t="shared" si="100"/>
        <v>平成6年9月14日</v>
      </c>
      <c r="I3132" s="22">
        <f t="shared" si="101"/>
        <v>34591</v>
      </c>
      <c r="J3132" s="1" t="str">
        <f>"00743089"</f>
        <v>00743089</v>
      </c>
      <c r="K3132" s="1" t="str">
        <f>"４２２　　　　　　　　　　　　　　　　　"</f>
        <v>４２２　　　　　　　　　　　　　　　　　</v>
      </c>
      <c r="L3132" s="1"/>
    </row>
    <row r="3133" spans="1:12" ht="18" customHeight="1" x14ac:dyDescent="0.15">
      <c r="A3133" s="11">
        <v>3336</v>
      </c>
      <c r="B3133" s="11" t="s">
        <v>54</v>
      </c>
      <c r="C3133" s="11" t="s">
        <v>184</v>
      </c>
      <c r="D3133" s="11">
        <v>1</v>
      </c>
      <c r="E3133" s="11" t="s">
        <v>4</v>
      </c>
      <c r="F3133" s="12">
        <v>199900</v>
      </c>
      <c r="G3133" s="12">
        <v>199900</v>
      </c>
      <c r="H3133" s="11" t="str">
        <f t="shared" si="100"/>
        <v>平成6年9月14日</v>
      </c>
      <c r="I3133" s="22">
        <f t="shared" si="101"/>
        <v>34591</v>
      </c>
      <c r="J3133" s="1" t="str">
        <f>"00743091"</f>
        <v>00743091</v>
      </c>
      <c r="K3133" s="1" t="str">
        <f>"４２３　　　　　　　　　　　　　　　　　"</f>
        <v>４２３　　　　　　　　　　　　　　　　　</v>
      </c>
      <c r="L3133" s="1"/>
    </row>
    <row r="3134" spans="1:12" ht="18" customHeight="1" x14ac:dyDescent="0.15">
      <c r="A3134" s="11">
        <v>3337</v>
      </c>
      <c r="B3134" s="11" t="s">
        <v>54</v>
      </c>
      <c r="C3134" s="11" t="s">
        <v>184</v>
      </c>
      <c r="D3134" s="11">
        <v>1</v>
      </c>
      <c r="E3134" s="11" t="s">
        <v>4</v>
      </c>
      <c r="F3134" s="12">
        <v>199900</v>
      </c>
      <c r="G3134" s="12">
        <v>199900</v>
      </c>
      <c r="H3134" s="11" t="str">
        <f t="shared" si="100"/>
        <v>平成6年9月14日</v>
      </c>
      <c r="I3134" s="22">
        <f t="shared" si="101"/>
        <v>34591</v>
      </c>
      <c r="J3134" s="1" t="str">
        <f>"00743093"</f>
        <v>00743093</v>
      </c>
      <c r="K3134" s="1" t="str">
        <f>"４２４　　　　　　　　　　　　　　　　　"</f>
        <v>４２４　　　　　　　　　　　　　　　　　</v>
      </c>
      <c r="L3134" s="1"/>
    </row>
    <row r="3135" spans="1:12" ht="18" customHeight="1" x14ac:dyDescent="0.15">
      <c r="A3135" s="11">
        <v>3338</v>
      </c>
      <c r="B3135" s="11" t="s">
        <v>54</v>
      </c>
      <c r="C3135" s="11" t="s">
        <v>184</v>
      </c>
      <c r="D3135" s="11">
        <v>1</v>
      </c>
      <c r="E3135" s="11" t="s">
        <v>4</v>
      </c>
      <c r="F3135" s="12">
        <v>199900</v>
      </c>
      <c r="G3135" s="12">
        <v>199900</v>
      </c>
      <c r="H3135" s="11" t="str">
        <f t="shared" si="100"/>
        <v>平成6年9月14日</v>
      </c>
      <c r="I3135" s="22">
        <f t="shared" si="101"/>
        <v>34591</v>
      </c>
      <c r="J3135" s="1" t="str">
        <f>"00743095"</f>
        <v>00743095</v>
      </c>
      <c r="K3135" s="1" t="str">
        <f>"４２５　　　　　　　　　　　　　　　　　"</f>
        <v>４２５　　　　　　　　　　　　　　　　　</v>
      </c>
      <c r="L3135" s="1"/>
    </row>
    <row r="3136" spans="1:12" ht="18" customHeight="1" x14ac:dyDescent="0.15">
      <c r="A3136" s="11">
        <v>3339</v>
      </c>
      <c r="B3136" s="11" t="s">
        <v>54</v>
      </c>
      <c r="C3136" s="11" t="s">
        <v>185</v>
      </c>
      <c r="D3136" s="11">
        <v>1</v>
      </c>
      <c r="E3136" s="11" t="s">
        <v>4</v>
      </c>
      <c r="F3136" s="12">
        <v>40800</v>
      </c>
      <c r="G3136" s="12">
        <v>40800</v>
      </c>
      <c r="H3136" s="11" t="str">
        <f t="shared" si="100"/>
        <v>平成6年9月14日</v>
      </c>
      <c r="I3136" s="22">
        <f t="shared" si="101"/>
        <v>34591</v>
      </c>
      <c r="J3136" s="1" t="str">
        <f>"00743097"</f>
        <v>00743097</v>
      </c>
      <c r="K3136" s="1" t="str">
        <f>"４２６　　　　　　　　　　　　　　　　　"</f>
        <v>４２６　　　　　　　　　　　　　　　　　</v>
      </c>
      <c r="L3136" s="1"/>
    </row>
    <row r="3137" spans="1:12" ht="18" customHeight="1" x14ac:dyDescent="0.15">
      <c r="A3137" s="11">
        <v>3340</v>
      </c>
      <c r="B3137" s="11" t="s">
        <v>54</v>
      </c>
      <c r="C3137" s="11" t="s">
        <v>185</v>
      </c>
      <c r="D3137" s="11">
        <v>1</v>
      </c>
      <c r="E3137" s="11" t="s">
        <v>4</v>
      </c>
      <c r="F3137" s="12">
        <v>40800</v>
      </c>
      <c r="G3137" s="12">
        <v>40800</v>
      </c>
      <c r="H3137" s="11" t="str">
        <f t="shared" si="100"/>
        <v>平成6年9月14日</v>
      </c>
      <c r="I3137" s="22">
        <f t="shared" si="101"/>
        <v>34591</v>
      </c>
      <c r="J3137" s="1" t="str">
        <f>"00743099"</f>
        <v>00743099</v>
      </c>
      <c r="K3137" s="1" t="str">
        <f>"４２７　　　　　　　　　　　　　　　　　"</f>
        <v>４２７　　　　　　　　　　　　　　　　　</v>
      </c>
      <c r="L3137" s="1"/>
    </row>
    <row r="3138" spans="1:12" ht="18" customHeight="1" x14ac:dyDescent="0.15">
      <c r="A3138" s="11">
        <v>3341</v>
      </c>
      <c r="B3138" s="11" t="s">
        <v>54</v>
      </c>
      <c r="C3138" s="11" t="s">
        <v>185</v>
      </c>
      <c r="D3138" s="11">
        <v>1</v>
      </c>
      <c r="E3138" s="11" t="s">
        <v>4</v>
      </c>
      <c r="F3138" s="12">
        <v>40800</v>
      </c>
      <c r="G3138" s="12">
        <v>40800</v>
      </c>
      <c r="H3138" s="11" t="str">
        <f t="shared" si="100"/>
        <v>平成6年9月14日</v>
      </c>
      <c r="I3138" s="22">
        <f t="shared" si="101"/>
        <v>34591</v>
      </c>
      <c r="J3138" s="1" t="str">
        <f>"00743101"</f>
        <v>00743101</v>
      </c>
      <c r="K3138" s="1" t="str">
        <f>"４２８　　　　　　　　　　　　　　　　　"</f>
        <v>４２８　　　　　　　　　　　　　　　　　</v>
      </c>
      <c r="L3138" s="1"/>
    </row>
    <row r="3139" spans="1:12" ht="18" customHeight="1" x14ac:dyDescent="0.15">
      <c r="A3139" s="11">
        <v>3342</v>
      </c>
      <c r="B3139" s="11" t="s">
        <v>54</v>
      </c>
      <c r="C3139" s="11" t="s">
        <v>185</v>
      </c>
      <c r="D3139" s="11">
        <v>1</v>
      </c>
      <c r="E3139" s="11" t="s">
        <v>4</v>
      </c>
      <c r="F3139" s="12">
        <v>40800</v>
      </c>
      <c r="G3139" s="12">
        <v>40800</v>
      </c>
      <c r="H3139" s="11" t="str">
        <f t="shared" si="100"/>
        <v>平成6年9月14日</v>
      </c>
      <c r="I3139" s="22">
        <f t="shared" si="101"/>
        <v>34591</v>
      </c>
      <c r="J3139" s="1" t="str">
        <f>"00743103"</f>
        <v>00743103</v>
      </c>
      <c r="K3139" s="1" t="str">
        <f>"４２９　　　　　　　　　　　　　　　　　"</f>
        <v>４２９　　　　　　　　　　　　　　　　　</v>
      </c>
      <c r="L3139" s="1"/>
    </row>
    <row r="3140" spans="1:12" ht="18" customHeight="1" x14ac:dyDescent="0.15">
      <c r="A3140" s="11">
        <v>3343</v>
      </c>
      <c r="B3140" s="11" t="s">
        <v>54</v>
      </c>
      <c r="C3140" s="11" t="s">
        <v>185</v>
      </c>
      <c r="D3140" s="11">
        <v>1</v>
      </c>
      <c r="E3140" s="11" t="s">
        <v>4</v>
      </c>
      <c r="F3140" s="12">
        <v>40800</v>
      </c>
      <c r="G3140" s="12">
        <v>40800</v>
      </c>
      <c r="H3140" s="11" t="str">
        <f t="shared" si="100"/>
        <v>平成6年9月14日</v>
      </c>
      <c r="I3140" s="22">
        <f t="shared" si="101"/>
        <v>34591</v>
      </c>
      <c r="J3140" s="1" t="str">
        <f>"00743105"</f>
        <v>00743105</v>
      </c>
      <c r="K3140" s="1" t="str">
        <f>"４３０　　　　　　　　　　　　　　　　　"</f>
        <v>４３０　　　　　　　　　　　　　　　　　</v>
      </c>
      <c r="L3140" s="1"/>
    </row>
    <row r="3141" spans="1:12" ht="18" customHeight="1" x14ac:dyDescent="0.15">
      <c r="A3141" s="11">
        <v>3344</v>
      </c>
      <c r="B3141" s="11" t="s">
        <v>54</v>
      </c>
      <c r="C3141" s="11" t="s">
        <v>185</v>
      </c>
      <c r="D3141" s="11">
        <v>1</v>
      </c>
      <c r="E3141" s="11" t="s">
        <v>4</v>
      </c>
      <c r="F3141" s="12">
        <v>40800</v>
      </c>
      <c r="G3141" s="12">
        <v>40800</v>
      </c>
      <c r="H3141" s="11" t="str">
        <f t="shared" si="100"/>
        <v>平成6年9月14日</v>
      </c>
      <c r="I3141" s="22">
        <f t="shared" si="101"/>
        <v>34591</v>
      </c>
      <c r="J3141" s="1" t="str">
        <f>"00743107"</f>
        <v>00743107</v>
      </c>
      <c r="K3141" s="1" t="str">
        <f>"４３１　　　　　　　　　　　　　　　　　"</f>
        <v>４３１　　　　　　　　　　　　　　　　　</v>
      </c>
      <c r="L3141" s="1"/>
    </row>
    <row r="3142" spans="1:12" ht="18" customHeight="1" x14ac:dyDescent="0.15">
      <c r="A3142" s="11">
        <v>3345</v>
      </c>
      <c r="B3142" s="11" t="s">
        <v>54</v>
      </c>
      <c r="C3142" s="11" t="s">
        <v>185</v>
      </c>
      <c r="D3142" s="11">
        <v>1</v>
      </c>
      <c r="E3142" s="11" t="s">
        <v>4</v>
      </c>
      <c r="F3142" s="12">
        <v>40800</v>
      </c>
      <c r="G3142" s="12">
        <v>40800</v>
      </c>
      <c r="H3142" s="11" t="str">
        <f t="shared" si="100"/>
        <v>平成6年9月14日</v>
      </c>
      <c r="I3142" s="22">
        <f t="shared" si="101"/>
        <v>34591</v>
      </c>
      <c r="J3142" s="1" t="str">
        <f>"00743109"</f>
        <v>00743109</v>
      </c>
      <c r="K3142" s="1" t="str">
        <f>"４３２　　　　　　　　　　　　　　　　　"</f>
        <v>４３２　　　　　　　　　　　　　　　　　</v>
      </c>
      <c r="L3142" s="1"/>
    </row>
    <row r="3143" spans="1:12" ht="18" customHeight="1" x14ac:dyDescent="0.15">
      <c r="A3143" s="11">
        <v>3346</v>
      </c>
      <c r="B3143" s="11" t="s">
        <v>54</v>
      </c>
      <c r="C3143" s="11" t="s">
        <v>185</v>
      </c>
      <c r="D3143" s="11">
        <v>1</v>
      </c>
      <c r="E3143" s="11" t="s">
        <v>4</v>
      </c>
      <c r="F3143" s="12">
        <v>40800</v>
      </c>
      <c r="G3143" s="12">
        <v>40800</v>
      </c>
      <c r="H3143" s="11" t="str">
        <f t="shared" si="100"/>
        <v>平成6年9月14日</v>
      </c>
      <c r="I3143" s="22">
        <f t="shared" si="101"/>
        <v>34591</v>
      </c>
      <c r="J3143" s="1" t="str">
        <f>"00743111"</f>
        <v>00743111</v>
      </c>
      <c r="K3143" s="1" t="str">
        <f>"４３３　　　　　　　　　　　　　　　　　"</f>
        <v>４３３　　　　　　　　　　　　　　　　　</v>
      </c>
      <c r="L3143" s="1"/>
    </row>
    <row r="3144" spans="1:12" ht="18" customHeight="1" x14ac:dyDescent="0.15">
      <c r="A3144" s="11">
        <v>3347</v>
      </c>
      <c r="B3144" s="11" t="s">
        <v>54</v>
      </c>
      <c r="C3144" s="11" t="s">
        <v>185</v>
      </c>
      <c r="D3144" s="11">
        <v>1</v>
      </c>
      <c r="E3144" s="11" t="s">
        <v>4</v>
      </c>
      <c r="F3144" s="12">
        <v>40800</v>
      </c>
      <c r="G3144" s="12">
        <v>40800</v>
      </c>
      <c r="H3144" s="11" t="str">
        <f t="shared" si="100"/>
        <v>平成6年9月14日</v>
      </c>
      <c r="I3144" s="22">
        <f t="shared" si="101"/>
        <v>34591</v>
      </c>
      <c r="J3144" s="1" t="str">
        <f>"00743113"</f>
        <v>00743113</v>
      </c>
      <c r="K3144" s="1" t="str">
        <f>"４３４　　　　　　　　　　　　　　　　　"</f>
        <v>４３４　　　　　　　　　　　　　　　　　</v>
      </c>
      <c r="L3144" s="1"/>
    </row>
    <row r="3145" spans="1:12" ht="18" customHeight="1" x14ac:dyDescent="0.15">
      <c r="A3145" s="11">
        <v>3348</v>
      </c>
      <c r="B3145" s="11" t="s">
        <v>54</v>
      </c>
      <c r="C3145" s="11" t="s">
        <v>185</v>
      </c>
      <c r="D3145" s="11">
        <v>1</v>
      </c>
      <c r="E3145" s="11" t="s">
        <v>4</v>
      </c>
      <c r="F3145" s="12">
        <v>40800</v>
      </c>
      <c r="G3145" s="12">
        <v>40800</v>
      </c>
      <c r="H3145" s="11" t="str">
        <f t="shared" si="100"/>
        <v>平成6年9月14日</v>
      </c>
      <c r="I3145" s="22">
        <f t="shared" si="101"/>
        <v>34591</v>
      </c>
      <c r="J3145" s="1" t="str">
        <f>"00743115"</f>
        <v>00743115</v>
      </c>
      <c r="K3145" s="1" t="str">
        <f>"４３５　　　　　　　　　　　　　　　　　"</f>
        <v>４３５　　　　　　　　　　　　　　　　　</v>
      </c>
      <c r="L3145" s="1"/>
    </row>
    <row r="3146" spans="1:12" ht="18" customHeight="1" x14ac:dyDescent="0.15">
      <c r="A3146" s="11">
        <v>3349</v>
      </c>
      <c r="B3146" s="11" t="s">
        <v>54</v>
      </c>
      <c r="C3146" s="11" t="s">
        <v>185</v>
      </c>
      <c r="D3146" s="11">
        <v>1</v>
      </c>
      <c r="E3146" s="11" t="s">
        <v>4</v>
      </c>
      <c r="F3146" s="12">
        <v>40800</v>
      </c>
      <c r="G3146" s="12">
        <v>40800</v>
      </c>
      <c r="H3146" s="11" t="str">
        <f t="shared" si="100"/>
        <v>平成6年9月14日</v>
      </c>
      <c r="I3146" s="22">
        <f t="shared" si="101"/>
        <v>34591</v>
      </c>
      <c r="J3146" s="1" t="str">
        <f>"00743117"</f>
        <v>00743117</v>
      </c>
      <c r="K3146" s="1" t="str">
        <f>"４３６　　　　　　　　　　　　　　　　　"</f>
        <v>４３６　　　　　　　　　　　　　　　　　</v>
      </c>
      <c r="L3146" s="1"/>
    </row>
    <row r="3147" spans="1:12" ht="18" customHeight="1" x14ac:dyDescent="0.15">
      <c r="A3147" s="11">
        <v>3350</v>
      </c>
      <c r="B3147" s="11" t="s">
        <v>54</v>
      </c>
      <c r="C3147" s="11" t="s">
        <v>185</v>
      </c>
      <c r="D3147" s="11">
        <v>1</v>
      </c>
      <c r="E3147" s="11" t="s">
        <v>4</v>
      </c>
      <c r="F3147" s="12">
        <v>40800</v>
      </c>
      <c r="G3147" s="12">
        <v>40800</v>
      </c>
      <c r="H3147" s="11" t="str">
        <f t="shared" si="100"/>
        <v>平成6年9月14日</v>
      </c>
      <c r="I3147" s="22">
        <f t="shared" si="101"/>
        <v>34591</v>
      </c>
      <c r="J3147" s="1" t="str">
        <f>"00743119"</f>
        <v>00743119</v>
      </c>
      <c r="K3147" s="1" t="str">
        <f>"４３７　　　　　　　　　　　　　　　　　"</f>
        <v>４３７　　　　　　　　　　　　　　　　　</v>
      </c>
      <c r="L3147" s="1"/>
    </row>
    <row r="3148" spans="1:12" ht="18" customHeight="1" x14ac:dyDescent="0.15">
      <c r="A3148" s="11">
        <v>3351</v>
      </c>
      <c r="B3148" s="11" t="s">
        <v>54</v>
      </c>
      <c r="C3148" s="11" t="s">
        <v>185</v>
      </c>
      <c r="D3148" s="11">
        <v>1</v>
      </c>
      <c r="E3148" s="11" t="s">
        <v>4</v>
      </c>
      <c r="F3148" s="12">
        <v>40800</v>
      </c>
      <c r="G3148" s="12">
        <v>40800</v>
      </c>
      <c r="H3148" s="11" t="str">
        <f t="shared" si="100"/>
        <v>平成6年9月14日</v>
      </c>
      <c r="I3148" s="22">
        <f t="shared" si="101"/>
        <v>34591</v>
      </c>
      <c r="J3148" s="1" t="str">
        <f>"00743121"</f>
        <v>00743121</v>
      </c>
      <c r="K3148" s="1" t="str">
        <f>"４３８　　　　　　　　　　　　　　　　　"</f>
        <v>４３８　　　　　　　　　　　　　　　　　</v>
      </c>
      <c r="L3148" s="1"/>
    </row>
    <row r="3149" spans="1:12" ht="18" customHeight="1" x14ac:dyDescent="0.15">
      <c r="A3149" s="11">
        <v>3352</v>
      </c>
      <c r="B3149" s="11" t="s">
        <v>54</v>
      </c>
      <c r="C3149" s="11" t="s">
        <v>185</v>
      </c>
      <c r="D3149" s="11">
        <v>1</v>
      </c>
      <c r="E3149" s="11" t="s">
        <v>4</v>
      </c>
      <c r="F3149" s="12">
        <v>40800</v>
      </c>
      <c r="G3149" s="12">
        <v>40800</v>
      </c>
      <c r="H3149" s="11" t="str">
        <f t="shared" si="100"/>
        <v>平成6年9月14日</v>
      </c>
      <c r="I3149" s="22">
        <f t="shared" si="101"/>
        <v>34591</v>
      </c>
      <c r="J3149" s="1" t="str">
        <f>"00743123"</f>
        <v>00743123</v>
      </c>
      <c r="K3149" s="1" t="str">
        <f>"４３９　　　　　　　　　　　　　　　　　"</f>
        <v>４３９　　　　　　　　　　　　　　　　　</v>
      </c>
      <c r="L3149" s="1"/>
    </row>
    <row r="3150" spans="1:12" ht="18" customHeight="1" x14ac:dyDescent="0.15">
      <c r="A3150" s="11">
        <v>3353</v>
      </c>
      <c r="B3150" s="11" t="s">
        <v>54</v>
      </c>
      <c r="C3150" s="11" t="s">
        <v>185</v>
      </c>
      <c r="D3150" s="11">
        <v>1</v>
      </c>
      <c r="E3150" s="11" t="s">
        <v>4</v>
      </c>
      <c r="F3150" s="12">
        <v>40800</v>
      </c>
      <c r="G3150" s="12">
        <v>40800</v>
      </c>
      <c r="H3150" s="11" t="str">
        <f t="shared" si="100"/>
        <v>平成6年9月14日</v>
      </c>
      <c r="I3150" s="22">
        <f t="shared" si="101"/>
        <v>34591</v>
      </c>
      <c r="J3150" s="1" t="str">
        <f>"00743125"</f>
        <v>00743125</v>
      </c>
      <c r="K3150" s="1" t="str">
        <f>"４４０　　　　　　　　　　　　　　　　　"</f>
        <v>４４０　　　　　　　　　　　　　　　　　</v>
      </c>
      <c r="L3150" s="1"/>
    </row>
    <row r="3151" spans="1:12" ht="18" customHeight="1" x14ac:dyDescent="0.15">
      <c r="A3151" s="11">
        <v>3354</v>
      </c>
      <c r="B3151" s="11" t="s">
        <v>54</v>
      </c>
      <c r="C3151" s="11" t="s">
        <v>185</v>
      </c>
      <c r="D3151" s="11">
        <v>1</v>
      </c>
      <c r="E3151" s="11" t="s">
        <v>4</v>
      </c>
      <c r="F3151" s="12">
        <v>40800</v>
      </c>
      <c r="G3151" s="12">
        <v>40800</v>
      </c>
      <c r="H3151" s="11" t="str">
        <f t="shared" ref="H3151:H3214" si="102">"平成6年9月14日"</f>
        <v>平成6年9月14日</v>
      </c>
      <c r="I3151" s="22">
        <f t="shared" si="101"/>
        <v>34591</v>
      </c>
      <c r="J3151" s="1" t="str">
        <f>"00743127"</f>
        <v>00743127</v>
      </c>
      <c r="K3151" s="1" t="str">
        <f>"４４１　　　　　　　　　　　　　　　　　"</f>
        <v>４４１　　　　　　　　　　　　　　　　　</v>
      </c>
      <c r="L3151" s="1"/>
    </row>
    <row r="3152" spans="1:12" ht="18" customHeight="1" x14ac:dyDescent="0.15">
      <c r="A3152" s="11">
        <v>3355</v>
      </c>
      <c r="B3152" s="11" t="s">
        <v>54</v>
      </c>
      <c r="C3152" s="11" t="s">
        <v>185</v>
      </c>
      <c r="D3152" s="11">
        <v>1</v>
      </c>
      <c r="E3152" s="11" t="s">
        <v>4</v>
      </c>
      <c r="F3152" s="12">
        <v>40800</v>
      </c>
      <c r="G3152" s="12">
        <v>40800</v>
      </c>
      <c r="H3152" s="11" t="str">
        <f t="shared" si="102"/>
        <v>平成6年9月14日</v>
      </c>
      <c r="I3152" s="22">
        <f t="shared" si="101"/>
        <v>34591</v>
      </c>
      <c r="J3152" s="1" t="str">
        <f>"00743129"</f>
        <v>00743129</v>
      </c>
      <c r="K3152" s="1" t="str">
        <f>"４４２　　　　　　　　　　　　　　　　　"</f>
        <v>４４２　　　　　　　　　　　　　　　　　</v>
      </c>
      <c r="L3152" s="1"/>
    </row>
    <row r="3153" spans="1:12" ht="18" customHeight="1" x14ac:dyDescent="0.15">
      <c r="A3153" s="11">
        <v>3356</v>
      </c>
      <c r="B3153" s="11" t="s">
        <v>54</v>
      </c>
      <c r="C3153" s="11" t="s">
        <v>185</v>
      </c>
      <c r="D3153" s="11">
        <v>1</v>
      </c>
      <c r="E3153" s="11" t="s">
        <v>4</v>
      </c>
      <c r="F3153" s="12">
        <v>40800</v>
      </c>
      <c r="G3153" s="12">
        <v>40800</v>
      </c>
      <c r="H3153" s="11" t="str">
        <f t="shared" si="102"/>
        <v>平成6年9月14日</v>
      </c>
      <c r="I3153" s="22">
        <f t="shared" si="101"/>
        <v>34591</v>
      </c>
      <c r="J3153" s="1" t="str">
        <f>"00743131"</f>
        <v>00743131</v>
      </c>
      <c r="K3153" s="1" t="str">
        <f>"４４３　　　　　　　　　　　　　　　　　"</f>
        <v>４４３　　　　　　　　　　　　　　　　　</v>
      </c>
      <c r="L3153" s="1"/>
    </row>
    <row r="3154" spans="1:12" ht="18" customHeight="1" x14ac:dyDescent="0.15">
      <c r="A3154" s="11">
        <v>3357</v>
      </c>
      <c r="B3154" s="11" t="s">
        <v>54</v>
      </c>
      <c r="C3154" s="11" t="s">
        <v>185</v>
      </c>
      <c r="D3154" s="11">
        <v>1</v>
      </c>
      <c r="E3154" s="11" t="s">
        <v>4</v>
      </c>
      <c r="F3154" s="12">
        <v>40800</v>
      </c>
      <c r="G3154" s="12">
        <v>40800</v>
      </c>
      <c r="H3154" s="11" t="str">
        <f t="shared" si="102"/>
        <v>平成6年9月14日</v>
      </c>
      <c r="I3154" s="22">
        <f t="shared" ref="I3154:I3217" si="103">DATEVALUE(H3154)</f>
        <v>34591</v>
      </c>
      <c r="J3154" s="1" t="str">
        <f>"00743133"</f>
        <v>00743133</v>
      </c>
      <c r="K3154" s="1" t="str">
        <f>"４４４　　　　　　　　　　　　　　　　　"</f>
        <v>４４４　　　　　　　　　　　　　　　　　</v>
      </c>
      <c r="L3154" s="1"/>
    </row>
    <row r="3155" spans="1:12" ht="18" customHeight="1" x14ac:dyDescent="0.15">
      <c r="A3155" s="11">
        <v>3358</v>
      </c>
      <c r="B3155" s="11" t="s">
        <v>54</v>
      </c>
      <c r="C3155" s="11" t="s">
        <v>185</v>
      </c>
      <c r="D3155" s="11">
        <v>1</v>
      </c>
      <c r="E3155" s="11" t="s">
        <v>4</v>
      </c>
      <c r="F3155" s="12">
        <v>40800</v>
      </c>
      <c r="G3155" s="12">
        <v>40800</v>
      </c>
      <c r="H3155" s="11" t="str">
        <f t="shared" si="102"/>
        <v>平成6年9月14日</v>
      </c>
      <c r="I3155" s="22">
        <f t="shared" si="103"/>
        <v>34591</v>
      </c>
      <c r="J3155" s="1" t="str">
        <f>"00743135"</f>
        <v>00743135</v>
      </c>
      <c r="K3155" s="1" t="str">
        <f>"４４５　　　　　　　　　　　　　　　　　"</f>
        <v>４４５　　　　　　　　　　　　　　　　　</v>
      </c>
      <c r="L3155" s="1"/>
    </row>
    <row r="3156" spans="1:12" ht="18" customHeight="1" x14ac:dyDescent="0.15">
      <c r="A3156" s="11">
        <v>3359</v>
      </c>
      <c r="B3156" s="11" t="s">
        <v>54</v>
      </c>
      <c r="C3156" s="11" t="s">
        <v>185</v>
      </c>
      <c r="D3156" s="11">
        <v>1</v>
      </c>
      <c r="E3156" s="11" t="s">
        <v>4</v>
      </c>
      <c r="F3156" s="12">
        <v>40800</v>
      </c>
      <c r="G3156" s="12">
        <v>40800</v>
      </c>
      <c r="H3156" s="11" t="str">
        <f t="shared" si="102"/>
        <v>平成6年9月14日</v>
      </c>
      <c r="I3156" s="22">
        <f t="shared" si="103"/>
        <v>34591</v>
      </c>
      <c r="J3156" s="1" t="str">
        <f>"00743137"</f>
        <v>00743137</v>
      </c>
      <c r="K3156" s="1" t="str">
        <f>"４４６　　　　　　　　　　　　　　　　　"</f>
        <v>４４６　　　　　　　　　　　　　　　　　</v>
      </c>
      <c r="L3156" s="1"/>
    </row>
    <row r="3157" spans="1:12" ht="18" customHeight="1" x14ac:dyDescent="0.15">
      <c r="A3157" s="11">
        <v>3360</v>
      </c>
      <c r="B3157" s="11" t="s">
        <v>54</v>
      </c>
      <c r="C3157" s="11" t="s">
        <v>185</v>
      </c>
      <c r="D3157" s="11">
        <v>1</v>
      </c>
      <c r="E3157" s="11" t="s">
        <v>4</v>
      </c>
      <c r="F3157" s="12">
        <v>40800</v>
      </c>
      <c r="G3157" s="12">
        <v>40800</v>
      </c>
      <c r="H3157" s="11" t="str">
        <f t="shared" si="102"/>
        <v>平成6年9月14日</v>
      </c>
      <c r="I3157" s="22">
        <f t="shared" si="103"/>
        <v>34591</v>
      </c>
      <c r="J3157" s="1" t="str">
        <f>"00743139"</f>
        <v>00743139</v>
      </c>
      <c r="K3157" s="1" t="str">
        <f>"４４７　　　　　　　　　　　　　　　　　"</f>
        <v>４４７　　　　　　　　　　　　　　　　　</v>
      </c>
      <c r="L3157" s="1"/>
    </row>
    <row r="3158" spans="1:12" ht="18" customHeight="1" x14ac:dyDescent="0.15">
      <c r="A3158" s="11">
        <v>3361</v>
      </c>
      <c r="B3158" s="11" t="s">
        <v>54</v>
      </c>
      <c r="C3158" s="11" t="s">
        <v>185</v>
      </c>
      <c r="D3158" s="11">
        <v>1</v>
      </c>
      <c r="E3158" s="11" t="s">
        <v>4</v>
      </c>
      <c r="F3158" s="12">
        <v>40800</v>
      </c>
      <c r="G3158" s="12">
        <v>40800</v>
      </c>
      <c r="H3158" s="11" t="str">
        <f t="shared" si="102"/>
        <v>平成6年9月14日</v>
      </c>
      <c r="I3158" s="22">
        <f t="shared" si="103"/>
        <v>34591</v>
      </c>
      <c r="J3158" s="1" t="str">
        <f>"00743141"</f>
        <v>00743141</v>
      </c>
      <c r="K3158" s="1" t="str">
        <f>"４４８　　　　　　　　　　　　　　　　　"</f>
        <v>４４８　　　　　　　　　　　　　　　　　</v>
      </c>
      <c r="L3158" s="1"/>
    </row>
    <row r="3159" spans="1:12" ht="18" customHeight="1" x14ac:dyDescent="0.15">
      <c r="A3159" s="11">
        <v>3362</v>
      </c>
      <c r="B3159" s="11" t="s">
        <v>54</v>
      </c>
      <c r="C3159" s="11" t="s">
        <v>185</v>
      </c>
      <c r="D3159" s="11">
        <v>1</v>
      </c>
      <c r="E3159" s="11" t="s">
        <v>4</v>
      </c>
      <c r="F3159" s="12">
        <v>40800</v>
      </c>
      <c r="G3159" s="12">
        <v>40800</v>
      </c>
      <c r="H3159" s="11" t="str">
        <f t="shared" si="102"/>
        <v>平成6年9月14日</v>
      </c>
      <c r="I3159" s="22">
        <f t="shared" si="103"/>
        <v>34591</v>
      </c>
      <c r="J3159" s="1" t="str">
        <f>"00743143"</f>
        <v>00743143</v>
      </c>
      <c r="K3159" s="1" t="str">
        <f>"４４９　　　　　　　　　　　　　　　　　"</f>
        <v>４４９　　　　　　　　　　　　　　　　　</v>
      </c>
      <c r="L3159" s="1"/>
    </row>
    <row r="3160" spans="1:12" ht="18" customHeight="1" x14ac:dyDescent="0.15">
      <c r="A3160" s="11">
        <v>3363</v>
      </c>
      <c r="B3160" s="11" t="s">
        <v>54</v>
      </c>
      <c r="C3160" s="11" t="s">
        <v>186</v>
      </c>
      <c r="D3160" s="11">
        <v>1</v>
      </c>
      <c r="E3160" s="11" t="s">
        <v>4</v>
      </c>
      <c r="F3160" s="12">
        <v>24770</v>
      </c>
      <c r="G3160" s="12">
        <v>24770</v>
      </c>
      <c r="H3160" s="11" t="str">
        <f t="shared" si="102"/>
        <v>平成6年9月14日</v>
      </c>
      <c r="I3160" s="22">
        <f t="shared" si="103"/>
        <v>34591</v>
      </c>
      <c r="J3160" s="1" t="str">
        <f>"00743145"</f>
        <v>00743145</v>
      </c>
      <c r="K3160" s="1" t="str">
        <f>"４５０　　　　　　　　　　　　　　　　　"</f>
        <v>４５０　　　　　　　　　　　　　　　　　</v>
      </c>
      <c r="L3160" s="1"/>
    </row>
    <row r="3161" spans="1:12" ht="18" customHeight="1" x14ac:dyDescent="0.15">
      <c r="A3161" s="11">
        <v>3364</v>
      </c>
      <c r="B3161" s="11" t="s">
        <v>54</v>
      </c>
      <c r="C3161" s="11" t="s">
        <v>186</v>
      </c>
      <c r="D3161" s="11">
        <v>1</v>
      </c>
      <c r="E3161" s="11" t="s">
        <v>4</v>
      </c>
      <c r="F3161" s="12">
        <v>24770</v>
      </c>
      <c r="G3161" s="12">
        <v>24770</v>
      </c>
      <c r="H3161" s="11" t="str">
        <f t="shared" si="102"/>
        <v>平成6年9月14日</v>
      </c>
      <c r="I3161" s="22">
        <f t="shared" si="103"/>
        <v>34591</v>
      </c>
      <c r="J3161" s="1" t="str">
        <f>"00743147"</f>
        <v>00743147</v>
      </c>
      <c r="K3161" s="1" t="str">
        <f>"４５１　　　　　　　　　　　　　　　　　"</f>
        <v>４５１　　　　　　　　　　　　　　　　　</v>
      </c>
      <c r="L3161" s="1"/>
    </row>
    <row r="3162" spans="1:12" ht="18" customHeight="1" x14ac:dyDescent="0.15">
      <c r="A3162" s="11">
        <v>3365</v>
      </c>
      <c r="B3162" s="11" t="s">
        <v>54</v>
      </c>
      <c r="C3162" s="11" t="s">
        <v>186</v>
      </c>
      <c r="D3162" s="11">
        <v>1</v>
      </c>
      <c r="E3162" s="11" t="s">
        <v>4</v>
      </c>
      <c r="F3162" s="12">
        <v>24770</v>
      </c>
      <c r="G3162" s="12">
        <v>24770</v>
      </c>
      <c r="H3162" s="11" t="str">
        <f t="shared" si="102"/>
        <v>平成6年9月14日</v>
      </c>
      <c r="I3162" s="22">
        <f t="shared" si="103"/>
        <v>34591</v>
      </c>
      <c r="J3162" s="1" t="str">
        <f>"00743149"</f>
        <v>00743149</v>
      </c>
      <c r="K3162" s="1" t="str">
        <f>"４５２　　　　　　　　　　　　　　　　　"</f>
        <v>４５２　　　　　　　　　　　　　　　　　</v>
      </c>
      <c r="L3162" s="1"/>
    </row>
    <row r="3163" spans="1:12" ht="18" customHeight="1" x14ac:dyDescent="0.15">
      <c r="A3163" s="11">
        <v>3366</v>
      </c>
      <c r="B3163" s="11" t="s">
        <v>54</v>
      </c>
      <c r="C3163" s="11" t="s">
        <v>186</v>
      </c>
      <c r="D3163" s="11">
        <v>1</v>
      </c>
      <c r="E3163" s="11" t="s">
        <v>4</v>
      </c>
      <c r="F3163" s="12">
        <v>24770</v>
      </c>
      <c r="G3163" s="12">
        <v>24770</v>
      </c>
      <c r="H3163" s="11" t="str">
        <f t="shared" si="102"/>
        <v>平成6年9月14日</v>
      </c>
      <c r="I3163" s="22">
        <f t="shared" si="103"/>
        <v>34591</v>
      </c>
      <c r="J3163" s="1" t="str">
        <f>"00743151"</f>
        <v>00743151</v>
      </c>
      <c r="K3163" s="1" t="str">
        <f>"４５３　　　　　　　　　　　　　　　　　"</f>
        <v>４５３　　　　　　　　　　　　　　　　　</v>
      </c>
      <c r="L3163" s="1"/>
    </row>
    <row r="3164" spans="1:12" ht="18" customHeight="1" x14ac:dyDescent="0.15">
      <c r="A3164" s="11">
        <v>3367</v>
      </c>
      <c r="B3164" s="11" t="s">
        <v>54</v>
      </c>
      <c r="C3164" s="11" t="s">
        <v>186</v>
      </c>
      <c r="D3164" s="11">
        <v>1</v>
      </c>
      <c r="E3164" s="11" t="s">
        <v>4</v>
      </c>
      <c r="F3164" s="12">
        <v>24770</v>
      </c>
      <c r="G3164" s="12">
        <v>24770</v>
      </c>
      <c r="H3164" s="11" t="str">
        <f t="shared" si="102"/>
        <v>平成6年9月14日</v>
      </c>
      <c r="I3164" s="22">
        <f t="shared" si="103"/>
        <v>34591</v>
      </c>
      <c r="J3164" s="1" t="str">
        <f>"00743153"</f>
        <v>00743153</v>
      </c>
      <c r="K3164" s="1" t="str">
        <f>"４５４　　　　　　　　　　　　　　　　　"</f>
        <v>４５４　　　　　　　　　　　　　　　　　</v>
      </c>
      <c r="L3164" s="1"/>
    </row>
    <row r="3165" spans="1:12" ht="18" customHeight="1" x14ac:dyDescent="0.15">
      <c r="A3165" s="11">
        <v>3368</v>
      </c>
      <c r="B3165" s="11" t="s">
        <v>54</v>
      </c>
      <c r="C3165" s="11" t="s">
        <v>186</v>
      </c>
      <c r="D3165" s="11">
        <v>1</v>
      </c>
      <c r="E3165" s="11" t="s">
        <v>4</v>
      </c>
      <c r="F3165" s="12">
        <v>24770</v>
      </c>
      <c r="G3165" s="12">
        <v>24770</v>
      </c>
      <c r="H3165" s="11" t="str">
        <f t="shared" si="102"/>
        <v>平成6年9月14日</v>
      </c>
      <c r="I3165" s="22">
        <f t="shared" si="103"/>
        <v>34591</v>
      </c>
      <c r="J3165" s="1" t="str">
        <f>"00743155"</f>
        <v>00743155</v>
      </c>
      <c r="K3165" s="1" t="str">
        <f>"４５５　　　　　　　　　　　　　　　　　"</f>
        <v>４５５　　　　　　　　　　　　　　　　　</v>
      </c>
      <c r="L3165" s="1"/>
    </row>
    <row r="3166" spans="1:12" ht="18" customHeight="1" x14ac:dyDescent="0.15">
      <c r="A3166" s="11">
        <v>3369</v>
      </c>
      <c r="B3166" s="11" t="s">
        <v>54</v>
      </c>
      <c r="C3166" s="11" t="s">
        <v>186</v>
      </c>
      <c r="D3166" s="11">
        <v>1</v>
      </c>
      <c r="E3166" s="11" t="s">
        <v>4</v>
      </c>
      <c r="F3166" s="12">
        <v>24770</v>
      </c>
      <c r="G3166" s="12">
        <v>24770</v>
      </c>
      <c r="H3166" s="11" t="str">
        <f t="shared" si="102"/>
        <v>平成6年9月14日</v>
      </c>
      <c r="I3166" s="22">
        <f t="shared" si="103"/>
        <v>34591</v>
      </c>
      <c r="J3166" s="1" t="str">
        <f>"00743157"</f>
        <v>00743157</v>
      </c>
      <c r="K3166" s="1" t="str">
        <f>"４５６　　　　　　　　　　　　　　　　　"</f>
        <v>４５６　　　　　　　　　　　　　　　　　</v>
      </c>
      <c r="L3166" s="1"/>
    </row>
    <row r="3167" spans="1:12" ht="18" customHeight="1" x14ac:dyDescent="0.15">
      <c r="A3167" s="11">
        <v>3370</v>
      </c>
      <c r="B3167" s="11" t="s">
        <v>54</v>
      </c>
      <c r="C3167" s="11" t="s">
        <v>186</v>
      </c>
      <c r="D3167" s="11">
        <v>1</v>
      </c>
      <c r="E3167" s="11" t="s">
        <v>4</v>
      </c>
      <c r="F3167" s="12">
        <v>24770</v>
      </c>
      <c r="G3167" s="12">
        <v>24770</v>
      </c>
      <c r="H3167" s="11" t="str">
        <f t="shared" si="102"/>
        <v>平成6年9月14日</v>
      </c>
      <c r="I3167" s="22">
        <f t="shared" si="103"/>
        <v>34591</v>
      </c>
      <c r="J3167" s="1" t="str">
        <f>"00743159"</f>
        <v>00743159</v>
      </c>
      <c r="K3167" s="1" t="str">
        <f>"４５７　　　　　　　　　　　　　　　　　"</f>
        <v>４５７　　　　　　　　　　　　　　　　　</v>
      </c>
      <c r="L3167" s="1"/>
    </row>
    <row r="3168" spans="1:12" ht="18" customHeight="1" x14ac:dyDescent="0.15">
      <c r="A3168" s="11">
        <v>3371</v>
      </c>
      <c r="B3168" s="11" t="s">
        <v>54</v>
      </c>
      <c r="C3168" s="11" t="s">
        <v>186</v>
      </c>
      <c r="D3168" s="11">
        <v>1</v>
      </c>
      <c r="E3168" s="11" t="s">
        <v>4</v>
      </c>
      <c r="F3168" s="12">
        <v>24770</v>
      </c>
      <c r="G3168" s="12">
        <v>24770</v>
      </c>
      <c r="H3168" s="11" t="str">
        <f t="shared" si="102"/>
        <v>平成6年9月14日</v>
      </c>
      <c r="I3168" s="22">
        <f t="shared" si="103"/>
        <v>34591</v>
      </c>
      <c r="J3168" s="1" t="str">
        <f>"00743161"</f>
        <v>00743161</v>
      </c>
      <c r="K3168" s="1" t="str">
        <f>"４５８　　　　　　　　　　　　　　　　　"</f>
        <v>４５８　　　　　　　　　　　　　　　　　</v>
      </c>
      <c r="L3168" s="1"/>
    </row>
    <row r="3169" spans="1:12" ht="18" customHeight="1" x14ac:dyDescent="0.15">
      <c r="A3169" s="11">
        <v>3372</v>
      </c>
      <c r="B3169" s="11" t="s">
        <v>54</v>
      </c>
      <c r="C3169" s="11" t="s">
        <v>186</v>
      </c>
      <c r="D3169" s="11">
        <v>1</v>
      </c>
      <c r="E3169" s="11" t="s">
        <v>4</v>
      </c>
      <c r="F3169" s="12">
        <v>24770</v>
      </c>
      <c r="G3169" s="12">
        <v>24770</v>
      </c>
      <c r="H3169" s="11" t="str">
        <f t="shared" si="102"/>
        <v>平成6年9月14日</v>
      </c>
      <c r="I3169" s="22">
        <f t="shared" si="103"/>
        <v>34591</v>
      </c>
      <c r="J3169" s="1" t="str">
        <f>"00743163"</f>
        <v>00743163</v>
      </c>
      <c r="K3169" s="1" t="str">
        <f>"４５９　　　　　　　　　　　　　　　　　"</f>
        <v>４５９　　　　　　　　　　　　　　　　　</v>
      </c>
      <c r="L3169" s="1"/>
    </row>
    <row r="3170" spans="1:12" ht="18" customHeight="1" x14ac:dyDescent="0.15">
      <c r="A3170" s="11">
        <v>3373</v>
      </c>
      <c r="B3170" s="11" t="s">
        <v>54</v>
      </c>
      <c r="C3170" s="11" t="s">
        <v>186</v>
      </c>
      <c r="D3170" s="11">
        <v>1</v>
      </c>
      <c r="E3170" s="11" t="s">
        <v>4</v>
      </c>
      <c r="F3170" s="12">
        <v>24770</v>
      </c>
      <c r="G3170" s="12">
        <v>24770</v>
      </c>
      <c r="H3170" s="11" t="str">
        <f t="shared" si="102"/>
        <v>平成6年9月14日</v>
      </c>
      <c r="I3170" s="22">
        <f t="shared" si="103"/>
        <v>34591</v>
      </c>
      <c r="J3170" s="1" t="str">
        <f>"00743165"</f>
        <v>00743165</v>
      </c>
      <c r="K3170" s="1" t="str">
        <f>"４６０　　　　　　　　　　　　　　　　　"</f>
        <v>４６０　　　　　　　　　　　　　　　　　</v>
      </c>
      <c r="L3170" s="1"/>
    </row>
    <row r="3171" spans="1:12" ht="18" customHeight="1" x14ac:dyDescent="0.15">
      <c r="A3171" s="11">
        <v>3374</v>
      </c>
      <c r="B3171" s="11" t="s">
        <v>54</v>
      </c>
      <c r="C3171" s="11" t="s">
        <v>186</v>
      </c>
      <c r="D3171" s="11">
        <v>1</v>
      </c>
      <c r="E3171" s="11" t="s">
        <v>4</v>
      </c>
      <c r="F3171" s="12">
        <v>24770</v>
      </c>
      <c r="G3171" s="12">
        <v>24770</v>
      </c>
      <c r="H3171" s="11" t="str">
        <f t="shared" si="102"/>
        <v>平成6年9月14日</v>
      </c>
      <c r="I3171" s="22">
        <f t="shared" si="103"/>
        <v>34591</v>
      </c>
      <c r="J3171" s="1" t="str">
        <f>"00743167"</f>
        <v>00743167</v>
      </c>
      <c r="K3171" s="1" t="str">
        <f>"４６１　　　　　　　　　　　　　　　　　"</f>
        <v>４６１　　　　　　　　　　　　　　　　　</v>
      </c>
      <c r="L3171" s="1"/>
    </row>
    <row r="3172" spans="1:12" ht="18" customHeight="1" x14ac:dyDescent="0.15">
      <c r="A3172" s="11">
        <v>3375</v>
      </c>
      <c r="B3172" s="11" t="s">
        <v>54</v>
      </c>
      <c r="C3172" s="11" t="s">
        <v>186</v>
      </c>
      <c r="D3172" s="11">
        <v>1</v>
      </c>
      <c r="E3172" s="11" t="s">
        <v>4</v>
      </c>
      <c r="F3172" s="12">
        <v>24770</v>
      </c>
      <c r="G3172" s="12">
        <v>24770</v>
      </c>
      <c r="H3172" s="11" t="str">
        <f t="shared" si="102"/>
        <v>平成6年9月14日</v>
      </c>
      <c r="I3172" s="22">
        <f t="shared" si="103"/>
        <v>34591</v>
      </c>
      <c r="J3172" s="1" t="str">
        <f>"00743169"</f>
        <v>00743169</v>
      </c>
      <c r="K3172" s="1" t="str">
        <f>"４６２　　　　　　　　　　　　　　　　　"</f>
        <v>４６２　　　　　　　　　　　　　　　　　</v>
      </c>
      <c r="L3172" s="1"/>
    </row>
    <row r="3173" spans="1:12" ht="18" customHeight="1" x14ac:dyDescent="0.15">
      <c r="A3173" s="11">
        <v>3376</v>
      </c>
      <c r="B3173" s="11" t="s">
        <v>54</v>
      </c>
      <c r="C3173" s="11" t="s">
        <v>186</v>
      </c>
      <c r="D3173" s="11">
        <v>1</v>
      </c>
      <c r="E3173" s="11" t="s">
        <v>4</v>
      </c>
      <c r="F3173" s="12">
        <v>24770</v>
      </c>
      <c r="G3173" s="12">
        <v>24770</v>
      </c>
      <c r="H3173" s="11" t="str">
        <f t="shared" si="102"/>
        <v>平成6年9月14日</v>
      </c>
      <c r="I3173" s="22">
        <f t="shared" si="103"/>
        <v>34591</v>
      </c>
      <c r="J3173" s="1" t="str">
        <f>"00743171"</f>
        <v>00743171</v>
      </c>
      <c r="K3173" s="1" t="str">
        <f>"４６３　　　　　　　　　　　　　　　　　"</f>
        <v>４６３　　　　　　　　　　　　　　　　　</v>
      </c>
      <c r="L3173" s="1"/>
    </row>
    <row r="3174" spans="1:12" ht="18" customHeight="1" x14ac:dyDescent="0.15">
      <c r="A3174" s="11">
        <v>3377</v>
      </c>
      <c r="B3174" s="11" t="s">
        <v>54</v>
      </c>
      <c r="C3174" s="11" t="s">
        <v>186</v>
      </c>
      <c r="D3174" s="11">
        <v>1</v>
      </c>
      <c r="E3174" s="11" t="s">
        <v>4</v>
      </c>
      <c r="F3174" s="12">
        <v>24770</v>
      </c>
      <c r="G3174" s="12">
        <v>24770</v>
      </c>
      <c r="H3174" s="11" t="str">
        <f t="shared" si="102"/>
        <v>平成6年9月14日</v>
      </c>
      <c r="I3174" s="22">
        <f t="shared" si="103"/>
        <v>34591</v>
      </c>
      <c r="J3174" s="1" t="str">
        <f>"00743173"</f>
        <v>00743173</v>
      </c>
      <c r="K3174" s="1" t="str">
        <f>"４６４　　　　　　　　　　　　　　　　　"</f>
        <v>４６４　　　　　　　　　　　　　　　　　</v>
      </c>
      <c r="L3174" s="1"/>
    </row>
    <row r="3175" spans="1:12" ht="18" customHeight="1" x14ac:dyDescent="0.15">
      <c r="A3175" s="11">
        <v>3378</v>
      </c>
      <c r="B3175" s="11" t="s">
        <v>54</v>
      </c>
      <c r="C3175" s="11" t="s">
        <v>186</v>
      </c>
      <c r="D3175" s="11">
        <v>1</v>
      </c>
      <c r="E3175" s="11" t="s">
        <v>4</v>
      </c>
      <c r="F3175" s="12">
        <v>24770</v>
      </c>
      <c r="G3175" s="12">
        <v>24770</v>
      </c>
      <c r="H3175" s="11" t="str">
        <f t="shared" si="102"/>
        <v>平成6年9月14日</v>
      </c>
      <c r="I3175" s="22">
        <f t="shared" si="103"/>
        <v>34591</v>
      </c>
      <c r="J3175" s="1" t="str">
        <f>"00743175"</f>
        <v>00743175</v>
      </c>
      <c r="K3175" s="1" t="str">
        <f>"４６５　　　　　　　　　　　　　　　　　"</f>
        <v>４６５　　　　　　　　　　　　　　　　　</v>
      </c>
      <c r="L3175" s="1"/>
    </row>
    <row r="3176" spans="1:12" ht="18" customHeight="1" x14ac:dyDescent="0.15">
      <c r="A3176" s="11">
        <v>3379</v>
      </c>
      <c r="B3176" s="11" t="s">
        <v>54</v>
      </c>
      <c r="C3176" s="11" t="s">
        <v>186</v>
      </c>
      <c r="D3176" s="11">
        <v>1</v>
      </c>
      <c r="E3176" s="11" t="s">
        <v>4</v>
      </c>
      <c r="F3176" s="12">
        <v>24770</v>
      </c>
      <c r="G3176" s="12">
        <v>24770</v>
      </c>
      <c r="H3176" s="11" t="str">
        <f t="shared" si="102"/>
        <v>平成6年9月14日</v>
      </c>
      <c r="I3176" s="22">
        <f t="shared" si="103"/>
        <v>34591</v>
      </c>
      <c r="J3176" s="1" t="str">
        <f>"00743177"</f>
        <v>00743177</v>
      </c>
      <c r="K3176" s="1" t="str">
        <f>"４６６　　　　　　　　　　　　　　　　　"</f>
        <v>４６６　　　　　　　　　　　　　　　　　</v>
      </c>
      <c r="L3176" s="1"/>
    </row>
    <row r="3177" spans="1:12" ht="18" customHeight="1" x14ac:dyDescent="0.15">
      <c r="A3177" s="11">
        <v>3380</v>
      </c>
      <c r="B3177" s="11" t="s">
        <v>54</v>
      </c>
      <c r="C3177" s="11" t="s">
        <v>186</v>
      </c>
      <c r="D3177" s="11">
        <v>1</v>
      </c>
      <c r="E3177" s="11" t="s">
        <v>4</v>
      </c>
      <c r="F3177" s="12">
        <v>24770</v>
      </c>
      <c r="G3177" s="12">
        <v>24770</v>
      </c>
      <c r="H3177" s="11" t="str">
        <f t="shared" si="102"/>
        <v>平成6年9月14日</v>
      </c>
      <c r="I3177" s="22">
        <f t="shared" si="103"/>
        <v>34591</v>
      </c>
      <c r="J3177" s="1" t="str">
        <f>"00743179"</f>
        <v>00743179</v>
      </c>
      <c r="K3177" s="1" t="str">
        <f>"４６７　　　　　　　　　　　　　　　　　"</f>
        <v>４６７　　　　　　　　　　　　　　　　　</v>
      </c>
      <c r="L3177" s="1"/>
    </row>
    <row r="3178" spans="1:12" ht="18" customHeight="1" x14ac:dyDescent="0.15">
      <c r="A3178" s="11">
        <v>3381</v>
      </c>
      <c r="B3178" s="11" t="s">
        <v>54</v>
      </c>
      <c r="C3178" s="11" t="s">
        <v>186</v>
      </c>
      <c r="D3178" s="11">
        <v>1</v>
      </c>
      <c r="E3178" s="11" t="s">
        <v>4</v>
      </c>
      <c r="F3178" s="12">
        <v>24770</v>
      </c>
      <c r="G3178" s="12">
        <v>24770</v>
      </c>
      <c r="H3178" s="11" t="str">
        <f t="shared" si="102"/>
        <v>平成6年9月14日</v>
      </c>
      <c r="I3178" s="22">
        <f t="shared" si="103"/>
        <v>34591</v>
      </c>
      <c r="J3178" s="1" t="str">
        <f>"00743181"</f>
        <v>00743181</v>
      </c>
      <c r="K3178" s="1" t="str">
        <f>"４６８　　　　　　　　　　　　　　　　　"</f>
        <v>４６８　　　　　　　　　　　　　　　　　</v>
      </c>
      <c r="L3178" s="1"/>
    </row>
    <row r="3179" spans="1:12" ht="18" customHeight="1" x14ac:dyDescent="0.15">
      <c r="A3179" s="11">
        <v>3382</v>
      </c>
      <c r="B3179" s="11" t="s">
        <v>54</v>
      </c>
      <c r="C3179" s="11" t="s">
        <v>186</v>
      </c>
      <c r="D3179" s="11">
        <v>1</v>
      </c>
      <c r="E3179" s="11" t="s">
        <v>4</v>
      </c>
      <c r="F3179" s="12">
        <v>24770</v>
      </c>
      <c r="G3179" s="12">
        <v>24770</v>
      </c>
      <c r="H3179" s="11" t="str">
        <f t="shared" si="102"/>
        <v>平成6年9月14日</v>
      </c>
      <c r="I3179" s="22">
        <f t="shared" si="103"/>
        <v>34591</v>
      </c>
      <c r="J3179" s="1" t="str">
        <f>"00743183"</f>
        <v>00743183</v>
      </c>
      <c r="K3179" s="1" t="str">
        <f>"４６９　　　　　　　　　　　　　　　　　"</f>
        <v>４６９　　　　　　　　　　　　　　　　　</v>
      </c>
      <c r="L3179" s="1"/>
    </row>
    <row r="3180" spans="1:12" ht="18" customHeight="1" x14ac:dyDescent="0.15">
      <c r="A3180" s="11">
        <v>3383</v>
      </c>
      <c r="B3180" s="11" t="s">
        <v>54</v>
      </c>
      <c r="C3180" s="11" t="s">
        <v>186</v>
      </c>
      <c r="D3180" s="11">
        <v>1</v>
      </c>
      <c r="E3180" s="11" t="s">
        <v>4</v>
      </c>
      <c r="F3180" s="12">
        <v>24770</v>
      </c>
      <c r="G3180" s="12">
        <v>24770</v>
      </c>
      <c r="H3180" s="11" t="str">
        <f t="shared" si="102"/>
        <v>平成6年9月14日</v>
      </c>
      <c r="I3180" s="22">
        <f t="shared" si="103"/>
        <v>34591</v>
      </c>
      <c r="J3180" s="1" t="str">
        <f>"00743185"</f>
        <v>00743185</v>
      </c>
      <c r="K3180" s="1" t="str">
        <f>"４７０　　　　　　　　　　　　　　　　　"</f>
        <v>４７０　　　　　　　　　　　　　　　　　</v>
      </c>
      <c r="L3180" s="1"/>
    </row>
    <row r="3181" spans="1:12" ht="18" customHeight="1" x14ac:dyDescent="0.15">
      <c r="A3181" s="11">
        <v>3384</v>
      </c>
      <c r="B3181" s="11" t="s">
        <v>54</v>
      </c>
      <c r="C3181" s="11" t="s">
        <v>186</v>
      </c>
      <c r="D3181" s="11">
        <v>1</v>
      </c>
      <c r="E3181" s="11" t="s">
        <v>4</v>
      </c>
      <c r="F3181" s="12">
        <v>24770</v>
      </c>
      <c r="G3181" s="12">
        <v>24770</v>
      </c>
      <c r="H3181" s="11" t="str">
        <f t="shared" si="102"/>
        <v>平成6年9月14日</v>
      </c>
      <c r="I3181" s="22">
        <f t="shared" si="103"/>
        <v>34591</v>
      </c>
      <c r="J3181" s="1" t="str">
        <f>"00743187"</f>
        <v>00743187</v>
      </c>
      <c r="K3181" s="1" t="str">
        <f>"４７１　　　　　　　　　　　　　　　　　"</f>
        <v>４７１　　　　　　　　　　　　　　　　　</v>
      </c>
      <c r="L3181" s="1"/>
    </row>
    <row r="3182" spans="1:12" ht="18" customHeight="1" x14ac:dyDescent="0.15">
      <c r="A3182" s="11">
        <v>3385</v>
      </c>
      <c r="B3182" s="11" t="s">
        <v>54</v>
      </c>
      <c r="C3182" s="11" t="s">
        <v>186</v>
      </c>
      <c r="D3182" s="11">
        <v>1</v>
      </c>
      <c r="E3182" s="11" t="s">
        <v>4</v>
      </c>
      <c r="F3182" s="12">
        <v>24770</v>
      </c>
      <c r="G3182" s="12">
        <v>24770</v>
      </c>
      <c r="H3182" s="11" t="str">
        <f t="shared" si="102"/>
        <v>平成6年9月14日</v>
      </c>
      <c r="I3182" s="22">
        <f t="shared" si="103"/>
        <v>34591</v>
      </c>
      <c r="J3182" s="1" t="str">
        <f>"00743189"</f>
        <v>00743189</v>
      </c>
      <c r="K3182" s="1" t="str">
        <f>"４７２　　　　　　　　　　　　　　　　　"</f>
        <v>４７２　　　　　　　　　　　　　　　　　</v>
      </c>
      <c r="L3182" s="1"/>
    </row>
    <row r="3183" spans="1:12" ht="18" customHeight="1" x14ac:dyDescent="0.15">
      <c r="A3183" s="11">
        <v>3386</v>
      </c>
      <c r="B3183" s="11" t="s">
        <v>54</v>
      </c>
      <c r="C3183" s="11" t="s">
        <v>186</v>
      </c>
      <c r="D3183" s="11">
        <v>1</v>
      </c>
      <c r="E3183" s="11" t="s">
        <v>4</v>
      </c>
      <c r="F3183" s="12">
        <v>24770</v>
      </c>
      <c r="G3183" s="12">
        <v>24770</v>
      </c>
      <c r="H3183" s="11" t="str">
        <f t="shared" si="102"/>
        <v>平成6年9月14日</v>
      </c>
      <c r="I3183" s="22">
        <f t="shared" si="103"/>
        <v>34591</v>
      </c>
      <c r="J3183" s="1" t="str">
        <f>"00743191"</f>
        <v>00743191</v>
      </c>
      <c r="K3183" s="1" t="str">
        <f>"４７３　　　　　　　　　　　　　　　　　"</f>
        <v>４７３　　　　　　　　　　　　　　　　　</v>
      </c>
      <c r="L3183" s="1"/>
    </row>
    <row r="3184" spans="1:12" ht="18" customHeight="1" x14ac:dyDescent="0.15">
      <c r="A3184" s="11">
        <v>3387</v>
      </c>
      <c r="B3184" s="11" t="s">
        <v>54</v>
      </c>
      <c r="C3184" s="11" t="s">
        <v>186</v>
      </c>
      <c r="D3184" s="11">
        <v>1</v>
      </c>
      <c r="E3184" s="11" t="s">
        <v>4</v>
      </c>
      <c r="F3184" s="12">
        <v>24770</v>
      </c>
      <c r="G3184" s="12">
        <v>24770</v>
      </c>
      <c r="H3184" s="11" t="str">
        <f t="shared" si="102"/>
        <v>平成6年9月14日</v>
      </c>
      <c r="I3184" s="22">
        <f t="shared" si="103"/>
        <v>34591</v>
      </c>
      <c r="J3184" s="1" t="str">
        <f>"00743193"</f>
        <v>00743193</v>
      </c>
      <c r="K3184" s="1" t="str">
        <f>"４７４　　　　　　　　　　　　　　　　　"</f>
        <v>４７４　　　　　　　　　　　　　　　　　</v>
      </c>
      <c r="L3184" s="1"/>
    </row>
    <row r="3185" spans="1:12" ht="18" customHeight="1" x14ac:dyDescent="0.15">
      <c r="A3185" s="11">
        <v>3388</v>
      </c>
      <c r="B3185" s="11" t="s">
        <v>54</v>
      </c>
      <c r="C3185" s="11" t="s">
        <v>186</v>
      </c>
      <c r="D3185" s="11">
        <v>1</v>
      </c>
      <c r="E3185" s="11" t="s">
        <v>4</v>
      </c>
      <c r="F3185" s="12">
        <v>24770</v>
      </c>
      <c r="G3185" s="12">
        <v>24770</v>
      </c>
      <c r="H3185" s="11" t="str">
        <f t="shared" si="102"/>
        <v>平成6年9月14日</v>
      </c>
      <c r="I3185" s="22">
        <f t="shared" si="103"/>
        <v>34591</v>
      </c>
      <c r="J3185" s="1" t="str">
        <f>"00743195"</f>
        <v>00743195</v>
      </c>
      <c r="K3185" s="1" t="str">
        <f>"４７５　　　　　　　　　　　　　　　　　"</f>
        <v>４７５　　　　　　　　　　　　　　　　　</v>
      </c>
      <c r="L3185" s="1"/>
    </row>
    <row r="3186" spans="1:12" ht="18" customHeight="1" x14ac:dyDescent="0.15">
      <c r="A3186" s="11">
        <v>3389</v>
      </c>
      <c r="B3186" s="11" t="s">
        <v>54</v>
      </c>
      <c r="C3186" s="11" t="s">
        <v>186</v>
      </c>
      <c r="D3186" s="11">
        <v>1</v>
      </c>
      <c r="E3186" s="11" t="s">
        <v>4</v>
      </c>
      <c r="F3186" s="12">
        <v>24770</v>
      </c>
      <c r="G3186" s="12">
        <v>24770</v>
      </c>
      <c r="H3186" s="11" t="str">
        <f t="shared" si="102"/>
        <v>平成6年9月14日</v>
      </c>
      <c r="I3186" s="22">
        <f t="shared" si="103"/>
        <v>34591</v>
      </c>
      <c r="J3186" s="1" t="str">
        <f>"00743197"</f>
        <v>00743197</v>
      </c>
      <c r="K3186" s="1" t="str">
        <f>"４７６　　　　　　　　　　　　　　　　　"</f>
        <v>４７６　　　　　　　　　　　　　　　　　</v>
      </c>
      <c r="L3186" s="1"/>
    </row>
    <row r="3187" spans="1:12" ht="18" customHeight="1" x14ac:dyDescent="0.15">
      <c r="A3187" s="11">
        <v>3390</v>
      </c>
      <c r="B3187" s="11" t="s">
        <v>54</v>
      </c>
      <c r="C3187" s="11" t="s">
        <v>186</v>
      </c>
      <c r="D3187" s="11">
        <v>1</v>
      </c>
      <c r="E3187" s="11" t="s">
        <v>4</v>
      </c>
      <c r="F3187" s="12">
        <v>24770</v>
      </c>
      <c r="G3187" s="12">
        <v>24770</v>
      </c>
      <c r="H3187" s="11" t="str">
        <f t="shared" si="102"/>
        <v>平成6年9月14日</v>
      </c>
      <c r="I3187" s="22">
        <f t="shared" si="103"/>
        <v>34591</v>
      </c>
      <c r="J3187" s="1" t="str">
        <f>"00743199"</f>
        <v>00743199</v>
      </c>
      <c r="K3187" s="1" t="str">
        <f>"４７７　　　　　　　　　　　　　　　　　"</f>
        <v>４７７　　　　　　　　　　　　　　　　　</v>
      </c>
      <c r="L3187" s="1"/>
    </row>
    <row r="3188" spans="1:12" ht="18" customHeight="1" x14ac:dyDescent="0.15">
      <c r="A3188" s="11">
        <v>3391</v>
      </c>
      <c r="B3188" s="11" t="s">
        <v>54</v>
      </c>
      <c r="C3188" s="11" t="s">
        <v>186</v>
      </c>
      <c r="D3188" s="11">
        <v>1</v>
      </c>
      <c r="E3188" s="11" t="s">
        <v>4</v>
      </c>
      <c r="F3188" s="12">
        <v>24770</v>
      </c>
      <c r="G3188" s="12">
        <v>24770</v>
      </c>
      <c r="H3188" s="11" t="str">
        <f t="shared" si="102"/>
        <v>平成6年9月14日</v>
      </c>
      <c r="I3188" s="22">
        <f t="shared" si="103"/>
        <v>34591</v>
      </c>
      <c r="J3188" s="1" t="str">
        <f>"00743201"</f>
        <v>00743201</v>
      </c>
      <c r="K3188" s="1" t="str">
        <f>"４７８　　　　　　　　　　　　　　　　　"</f>
        <v>４７８　　　　　　　　　　　　　　　　　</v>
      </c>
      <c r="L3188" s="1"/>
    </row>
    <row r="3189" spans="1:12" ht="18" customHeight="1" x14ac:dyDescent="0.15">
      <c r="A3189" s="11">
        <v>3392</v>
      </c>
      <c r="B3189" s="11" t="s">
        <v>54</v>
      </c>
      <c r="C3189" s="11" t="s">
        <v>186</v>
      </c>
      <c r="D3189" s="11">
        <v>1</v>
      </c>
      <c r="E3189" s="11" t="s">
        <v>4</v>
      </c>
      <c r="F3189" s="12">
        <v>24770</v>
      </c>
      <c r="G3189" s="12">
        <v>24770</v>
      </c>
      <c r="H3189" s="11" t="str">
        <f t="shared" si="102"/>
        <v>平成6年9月14日</v>
      </c>
      <c r="I3189" s="22">
        <f t="shared" si="103"/>
        <v>34591</v>
      </c>
      <c r="J3189" s="1" t="str">
        <f>"00743203"</f>
        <v>00743203</v>
      </c>
      <c r="K3189" s="1" t="str">
        <f>"４７９　　　　　　　　　　　　　　　　　"</f>
        <v>４７９　　　　　　　　　　　　　　　　　</v>
      </c>
      <c r="L3189" s="1"/>
    </row>
    <row r="3190" spans="1:12" ht="18" customHeight="1" x14ac:dyDescent="0.15">
      <c r="A3190" s="11">
        <v>3393</v>
      </c>
      <c r="B3190" s="11" t="s">
        <v>54</v>
      </c>
      <c r="C3190" s="11" t="s">
        <v>186</v>
      </c>
      <c r="D3190" s="11">
        <v>1</v>
      </c>
      <c r="E3190" s="11" t="s">
        <v>4</v>
      </c>
      <c r="F3190" s="12">
        <v>24770</v>
      </c>
      <c r="G3190" s="12">
        <v>24770</v>
      </c>
      <c r="H3190" s="11" t="str">
        <f t="shared" si="102"/>
        <v>平成6年9月14日</v>
      </c>
      <c r="I3190" s="22">
        <f t="shared" si="103"/>
        <v>34591</v>
      </c>
      <c r="J3190" s="1" t="str">
        <f>"00743205"</f>
        <v>00743205</v>
      </c>
      <c r="K3190" s="1" t="str">
        <f>"４８０　　　　　　　　　　　　　　　　　"</f>
        <v>４８０　　　　　　　　　　　　　　　　　</v>
      </c>
      <c r="L3190" s="1"/>
    </row>
    <row r="3191" spans="1:12" ht="18" customHeight="1" x14ac:dyDescent="0.15">
      <c r="A3191" s="11">
        <v>3394</v>
      </c>
      <c r="B3191" s="11" t="s">
        <v>54</v>
      </c>
      <c r="C3191" s="11" t="s">
        <v>186</v>
      </c>
      <c r="D3191" s="11">
        <v>1</v>
      </c>
      <c r="E3191" s="11" t="s">
        <v>4</v>
      </c>
      <c r="F3191" s="12">
        <v>24770</v>
      </c>
      <c r="G3191" s="12">
        <v>24770</v>
      </c>
      <c r="H3191" s="11" t="str">
        <f t="shared" si="102"/>
        <v>平成6年9月14日</v>
      </c>
      <c r="I3191" s="22">
        <f t="shared" si="103"/>
        <v>34591</v>
      </c>
      <c r="J3191" s="1" t="str">
        <f>"00743207"</f>
        <v>00743207</v>
      </c>
      <c r="K3191" s="1" t="str">
        <f>"４８１　　　　　　　　　　　　　　　　　"</f>
        <v>４８１　　　　　　　　　　　　　　　　　</v>
      </c>
      <c r="L3191" s="1"/>
    </row>
    <row r="3192" spans="1:12" ht="18" customHeight="1" x14ac:dyDescent="0.15">
      <c r="A3192" s="11">
        <v>3395</v>
      </c>
      <c r="B3192" s="11" t="s">
        <v>54</v>
      </c>
      <c r="C3192" s="11" t="s">
        <v>186</v>
      </c>
      <c r="D3192" s="11">
        <v>1</v>
      </c>
      <c r="E3192" s="11" t="s">
        <v>4</v>
      </c>
      <c r="F3192" s="12">
        <v>24770</v>
      </c>
      <c r="G3192" s="12">
        <v>24770</v>
      </c>
      <c r="H3192" s="11" t="str">
        <f t="shared" si="102"/>
        <v>平成6年9月14日</v>
      </c>
      <c r="I3192" s="22">
        <f t="shared" si="103"/>
        <v>34591</v>
      </c>
      <c r="J3192" s="1" t="str">
        <f>"00743209"</f>
        <v>00743209</v>
      </c>
      <c r="K3192" s="1" t="str">
        <f>"４８２　　　　　　　　　　　　　　　　　"</f>
        <v>４８２　　　　　　　　　　　　　　　　　</v>
      </c>
      <c r="L3192" s="1"/>
    </row>
    <row r="3193" spans="1:12" ht="18" customHeight="1" x14ac:dyDescent="0.15">
      <c r="A3193" s="11">
        <v>3396</v>
      </c>
      <c r="B3193" s="11" t="s">
        <v>54</v>
      </c>
      <c r="C3193" s="11" t="s">
        <v>186</v>
      </c>
      <c r="D3193" s="11">
        <v>1</v>
      </c>
      <c r="E3193" s="11" t="s">
        <v>4</v>
      </c>
      <c r="F3193" s="12">
        <v>24770</v>
      </c>
      <c r="G3193" s="12">
        <v>24770</v>
      </c>
      <c r="H3193" s="11" t="str">
        <f t="shared" si="102"/>
        <v>平成6年9月14日</v>
      </c>
      <c r="I3193" s="22">
        <f t="shared" si="103"/>
        <v>34591</v>
      </c>
      <c r="J3193" s="1" t="str">
        <f>"00743211"</f>
        <v>00743211</v>
      </c>
      <c r="K3193" s="1" t="str">
        <f>"４８３　　　　　　　　　　　　　　　　　"</f>
        <v>４８３　　　　　　　　　　　　　　　　　</v>
      </c>
      <c r="L3193" s="1"/>
    </row>
    <row r="3194" spans="1:12" ht="18" customHeight="1" x14ac:dyDescent="0.15">
      <c r="A3194" s="11">
        <v>3397</v>
      </c>
      <c r="B3194" s="11" t="s">
        <v>54</v>
      </c>
      <c r="C3194" s="11" t="s">
        <v>186</v>
      </c>
      <c r="D3194" s="11">
        <v>1</v>
      </c>
      <c r="E3194" s="11" t="s">
        <v>4</v>
      </c>
      <c r="F3194" s="12">
        <v>24770</v>
      </c>
      <c r="G3194" s="12">
        <v>24770</v>
      </c>
      <c r="H3194" s="11" t="str">
        <f t="shared" si="102"/>
        <v>平成6年9月14日</v>
      </c>
      <c r="I3194" s="22">
        <f t="shared" si="103"/>
        <v>34591</v>
      </c>
      <c r="J3194" s="1" t="str">
        <f>"00743213"</f>
        <v>00743213</v>
      </c>
      <c r="K3194" s="1" t="str">
        <f>"４８４　　　　　　　　　　　　　　　　　"</f>
        <v>４８４　　　　　　　　　　　　　　　　　</v>
      </c>
      <c r="L3194" s="1"/>
    </row>
    <row r="3195" spans="1:12" ht="18" customHeight="1" x14ac:dyDescent="0.15">
      <c r="A3195" s="11">
        <v>3398</v>
      </c>
      <c r="B3195" s="11" t="s">
        <v>54</v>
      </c>
      <c r="C3195" s="11" t="s">
        <v>186</v>
      </c>
      <c r="D3195" s="11">
        <v>1</v>
      </c>
      <c r="E3195" s="11" t="s">
        <v>4</v>
      </c>
      <c r="F3195" s="12">
        <v>24770</v>
      </c>
      <c r="G3195" s="12">
        <v>24770</v>
      </c>
      <c r="H3195" s="11" t="str">
        <f t="shared" si="102"/>
        <v>平成6年9月14日</v>
      </c>
      <c r="I3195" s="22">
        <f t="shared" si="103"/>
        <v>34591</v>
      </c>
      <c r="J3195" s="1" t="str">
        <f>"00743215"</f>
        <v>00743215</v>
      </c>
      <c r="K3195" s="1" t="str">
        <f>"４８５　　　　　　　　　　　　　　　　　"</f>
        <v>４８５　　　　　　　　　　　　　　　　　</v>
      </c>
      <c r="L3195" s="1"/>
    </row>
    <row r="3196" spans="1:12" ht="18" customHeight="1" x14ac:dyDescent="0.15">
      <c r="A3196" s="11">
        <v>3399</v>
      </c>
      <c r="B3196" s="11" t="s">
        <v>54</v>
      </c>
      <c r="C3196" s="11" t="s">
        <v>186</v>
      </c>
      <c r="D3196" s="11">
        <v>1</v>
      </c>
      <c r="E3196" s="11" t="s">
        <v>4</v>
      </c>
      <c r="F3196" s="12">
        <v>24770</v>
      </c>
      <c r="G3196" s="12">
        <v>24770</v>
      </c>
      <c r="H3196" s="11" t="str">
        <f t="shared" si="102"/>
        <v>平成6年9月14日</v>
      </c>
      <c r="I3196" s="22">
        <f t="shared" si="103"/>
        <v>34591</v>
      </c>
      <c r="J3196" s="1" t="str">
        <f>"00743217"</f>
        <v>00743217</v>
      </c>
      <c r="K3196" s="1" t="str">
        <f>"４８６　　　　　　　　　　　　　　　　　"</f>
        <v>４８６　　　　　　　　　　　　　　　　　</v>
      </c>
      <c r="L3196" s="1"/>
    </row>
    <row r="3197" spans="1:12" ht="18" customHeight="1" x14ac:dyDescent="0.15">
      <c r="A3197" s="11">
        <v>3400</v>
      </c>
      <c r="B3197" s="11" t="s">
        <v>54</v>
      </c>
      <c r="C3197" s="11" t="s">
        <v>186</v>
      </c>
      <c r="D3197" s="11">
        <v>1</v>
      </c>
      <c r="E3197" s="11" t="s">
        <v>4</v>
      </c>
      <c r="F3197" s="12">
        <v>24770</v>
      </c>
      <c r="G3197" s="12">
        <v>24770</v>
      </c>
      <c r="H3197" s="11" t="str">
        <f t="shared" si="102"/>
        <v>平成6年9月14日</v>
      </c>
      <c r="I3197" s="22">
        <f t="shared" si="103"/>
        <v>34591</v>
      </c>
      <c r="J3197" s="1" t="str">
        <f>"00743219"</f>
        <v>00743219</v>
      </c>
      <c r="K3197" s="1" t="str">
        <f>"４８７　　　　　　　　　　　　　　　　　"</f>
        <v>４８７　　　　　　　　　　　　　　　　　</v>
      </c>
      <c r="L3197" s="1"/>
    </row>
    <row r="3198" spans="1:12" ht="18" customHeight="1" x14ac:dyDescent="0.15">
      <c r="A3198" s="11">
        <v>3401</v>
      </c>
      <c r="B3198" s="11" t="s">
        <v>54</v>
      </c>
      <c r="C3198" s="11" t="s">
        <v>186</v>
      </c>
      <c r="D3198" s="11">
        <v>1</v>
      </c>
      <c r="E3198" s="11" t="s">
        <v>4</v>
      </c>
      <c r="F3198" s="12">
        <v>24770</v>
      </c>
      <c r="G3198" s="12">
        <v>24770</v>
      </c>
      <c r="H3198" s="11" t="str">
        <f t="shared" si="102"/>
        <v>平成6年9月14日</v>
      </c>
      <c r="I3198" s="22">
        <f t="shared" si="103"/>
        <v>34591</v>
      </c>
      <c r="J3198" s="1" t="str">
        <f>"00743221"</f>
        <v>00743221</v>
      </c>
      <c r="K3198" s="1" t="str">
        <f>"４８８　　　　　　　　　　　　　　　　　"</f>
        <v>４８８　　　　　　　　　　　　　　　　　</v>
      </c>
      <c r="L3198" s="1"/>
    </row>
    <row r="3199" spans="1:12" ht="18" customHeight="1" x14ac:dyDescent="0.15">
      <c r="A3199" s="11">
        <v>3402</v>
      </c>
      <c r="B3199" s="11" t="s">
        <v>54</v>
      </c>
      <c r="C3199" s="11" t="s">
        <v>186</v>
      </c>
      <c r="D3199" s="11">
        <v>1</v>
      </c>
      <c r="E3199" s="11" t="s">
        <v>4</v>
      </c>
      <c r="F3199" s="12">
        <v>24770</v>
      </c>
      <c r="G3199" s="12">
        <v>24770</v>
      </c>
      <c r="H3199" s="11" t="str">
        <f t="shared" si="102"/>
        <v>平成6年9月14日</v>
      </c>
      <c r="I3199" s="22">
        <f t="shared" si="103"/>
        <v>34591</v>
      </c>
      <c r="J3199" s="1" t="str">
        <f>"00743223"</f>
        <v>00743223</v>
      </c>
      <c r="K3199" s="1" t="str">
        <f>"４８９　　　　　　　　　　　　　　　　　"</f>
        <v>４８９　　　　　　　　　　　　　　　　　</v>
      </c>
      <c r="L3199" s="1"/>
    </row>
    <row r="3200" spans="1:12" ht="18" customHeight="1" x14ac:dyDescent="0.15">
      <c r="A3200" s="11">
        <v>3403</v>
      </c>
      <c r="B3200" s="11" t="s">
        <v>54</v>
      </c>
      <c r="C3200" s="11" t="s">
        <v>186</v>
      </c>
      <c r="D3200" s="11">
        <v>1</v>
      </c>
      <c r="E3200" s="11" t="s">
        <v>4</v>
      </c>
      <c r="F3200" s="12">
        <v>24770</v>
      </c>
      <c r="G3200" s="12">
        <v>24770</v>
      </c>
      <c r="H3200" s="11" t="str">
        <f t="shared" si="102"/>
        <v>平成6年9月14日</v>
      </c>
      <c r="I3200" s="22">
        <f t="shared" si="103"/>
        <v>34591</v>
      </c>
      <c r="J3200" s="1" t="str">
        <f>"00743225"</f>
        <v>00743225</v>
      </c>
      <c r="K3200" s="1" t="str">
        <f>"４９０　　　　　　　　　　　　　　　　　"</f>
        <v>４９０　　　　　　　　　　　　　　　　　</v>
      </c>
      <c r="L3200" s="1"/>
    </row>
    <row r="3201" spans="1:12" ht="18" customHeight="1" x14ac:dyDescent="0.15">
      <c r="A3201" s="11">
        <v>3404</v>
      </c>
      <c r="B3201" s="11" t="s">
        <v>54</v>
      </c>
      <c r="C3201" s="11" t="s">
        <v>186</v>
      </c>
      <c r="D3201" s="11">
        <v>1</v>
      </c>
      <c r="E3201" s="11" t="s">
        <v>4</v>
      </c>
      <c r="F3201" s="12">
        <v>24770</v>
      </c>
      <c r="G3201" s="12">
        <v>24770</v>
      </c>
      <c r="H3201" s="11" t="str">
        <f t="shared" si="102"/>
        <v>平成6年9月14日</v>
      </c>
      <c r="I3201" s="22">
        <f t="shared" si="103"/>
        <v>34591</v>
      </c>
      <c r="J3201" s="1" t="str">
        <f>"00743227"</f>
        <v>00743227</v>
      </c>
      <c r="K3201" s="1" t="str">
        <f>"４９１　　　　　　　　　　　　　　　　　"</f>
        <v>４９１　　　　　　　　　　　　　　　　　</v>
      </c>
      <c r="L3201" s="1"/>
    </row>
    <row r="3202" spans="1:12" ht="18" customHeight="1" x14ac:dyDescent="0.15">
      <c r="A3202" s="11">
        <v>3405</v>
      </c>
      <c r="B3202" s="11" t="s">
        <v>54</v>
      </c>
      <c r="C3202" s="11" t="s">
        <v>186</v>
      </c>
      <c r="D3202" s="11">
        <v>1</v>
      </c>
      <c r="E3202" s="11" t="s">
        <v>4</v>
      </c>
      <c r="F3202" s="12">
        <v>24770</v>
      </c>
      <c r="G3202" s="12">
        <v>24770</v>
      </c>
      <c r="H3202" s="11" t="str">
        <f t="shared" si="102"/>
        <v>平成6年9月14日</v>
      </c>
      <c r="I3202" s="22">
        <f t="shared" si="103"/>
        <v>34591</v>
      </c>
      <c r="J3202" s="1" t="str">
        <f>"00743229"</f>
        <v>00743229</v>
      </c>
      <c r="K3202" s="1" t="str">
        <f>"４９２　　　　　　　　　　　　　　　　　"</f>
        <v>４９２　　　　　　　　　　　　　　　　　</v>
      </c>
      <c r="L3202" s="1"/>
    </row>
    <row r="3203" spans="1:12" ht="18" customHeight="1" x14ac:dyDescent="0.15">
      <c r="A3203" s="11">
        <v>3406</v>
      </c>
      <c r="B3203" s="11" t="s">
        <v>54</v>
      </c>
      <c r="C3203" s="11" t="s">
        <v>186</v>
      </c>
      <c r="D3203" s="11">
        <v>1</v>
      </c>
      <c r="E3203" s="11" t="s">
        <v>4</v>
      </c>
      <c r="F3203" s="12">
        <v>24770</v>
      </c>
      <c r="G3203" s="12">
        <v>24770</v>
      </c>
      <c r="H3203" s="11" t="str">
        <f t="shared" si="102"/>
        <v>平成6年9月14日</v>
      </c>
      <c r="I3203" s="22">
        <f t="shared" si="103"/>
        <v>34591</v>
      </c>
      <c r="J3203" s="1" t="str">
        <f>"00743231"</f>
        <v>00743231</v>
      </c>
      <c r="K3203" s="1" t="str">
        <f>"４９３　　　　　　　　　　　　　　　　　"</f>
        <v>４９３　　　　　　　　　　　　　　　　　</v>
      </c>
      <c r="L3203" s="1"/>
    </row>
    <row r="3204" spans="1:12" ht="18" customHeight="1" x14ac:dyDescent="0.15">
      <c r="A3204" s="11">
        <v>3407</v>
      </c>
      <c r="B3204" s="11" t="s">
        <v>54</v>
      </c>
      <c r="C3204" s="11" t="s">
        <v>186</v>
      </c>
      <c r="D3204" s="11">
        <v>1</v>
      </c>
      <c r="E3204" s="11" t="s">
        <v>4</v>
      </c>
      <c r="F3204" s="12">
        <v>24770</v>
      </c>
      <c r="G3204" s="12">
        <v>24770</v>
      </c>
      <c r="H3204" s="11" t="str">
        <f t="shared" si="102"/>
        <v>平成6年9月14日</v>
      </c>
      <c r="I3204" s="22">
        <f t="shared" si="103"/>
        <v>34591</v>
      </c>
      <c r="J3204" s="1" t="str">
        <f>"00743233"</f>
        <v>00743233</v>
      </c>
      <c r="K3204" s="1" t="str">
        <f>"４９４　　　　　　　　　　　　　　　　　"</f>
        <v>４９４　　　　　　　　　　　　　　　　　</v>
      </c>
      <c r="L3204" s="1"/>
    </row>
    <row r="3205" spans="1:12" ht="18" customHeight="1" x14ac:dyDescent="0.15">
      <c r="A3205" s="11">
        <v>3408</v>
      </c>
      <c r="B3205" s="11" t="s">
        <v>54</v>
      </c>
      <c r="C3205" s="11" t="s">
        <v>186</v>
      </c>
      <c r="D3205" s="11">
        <v>1</v>
      </c>
      <c r="E3205" s="11" t="s">
        <v>4</v>
      </c>
      <c r="F3205" s="12">
        <v>24770</v>
      </c>
      <c r="G3205" s="12">
        <v>24770</v>
      </c>
      <c r="H3205" s="11" t="str">
        <f t="shared" si="102"/>
        <v>平成6年9月14日</v>
      </c>
      <c r="I3205" s="22">
        <f t="shared" si="103"/>
        <v>34591</v>
      </c>
      <c r="J3205" s="1" t="str">
        <f>"00743235"</f>
        <v>00743235</v>
      </c>
      <c r="K3205" s="1" t="str">
        <f>"４９５　　　　　　　　　　　　　　　　　"</f>
        <v>４９５　　　　　　　　　　　　　　　　　</v>
      </c>
      <c r="L3205" s="1"/>
    </row>
    <row r="3206" spans="1:12" ht="18" customHeight="1" x14ac:dyDescent="0.15">
      <c r="A3206" s="11">
        <v>3409</v>
      </c>
      <c r="B3206" s="11" t="s">
        <v>54</v>
      </c>
      <c r="C3206" s="11" t="s">
        <v>186</v>
      </c>
      <c r="D3206" s="11">
        <v>1</v>
      </c>
      <c r="E3206" s="11" t="s">
        <v>4</v>
      </c>
      <c r="F3206" s="12">
        <v>24770</v>
      </c>
      <c r="G3206" s="12">
        <v>24770</v>
      </c>
      <c r="H3206" s="11" t="str">
        <f t="shared" si="102"/>
        <v>平成6年9月14日</v>
      </c>
      <c r="I3206" s="22">
        <f t="shared" si="103"/>
        <v>34591</v>
      </c>
      <c r="J3206" s="1" t="str">
        <f>"00743237"</f>
        <v>00743237</v>
      </c>
      <c r="K3206" s="1" t="str">
        <f>"４９６　　　　　　　　　　　　　　　　　"</f>
        <v>４９６　　　　　　　　　　　　　　　　　</v>
      </c>
      <c r="L3206" s="1"/>
    </row>
    <row r="3207" spans="1:12" ht="18" customHeight="1" x14ac:dyDescent="0.15">
      <c r="A3207" s="11">
        <v>3410</v>
      </c>
      <c r="B3207" s="11" t="s">
        <v>54</v>
      </c>
      <c r="C3207" s="11" t="s">
        <v>186</v>
      </c>
      <c r="D3207" s="11">
        <v>1</v>
      </c>
      <c r="E3207" s="11" t="s">
        <v>4</v>
      </c>
      <c r="F3207" s="12">
        <v>24770</v>
      </c>
      <c r="G3207" s="12">
        <v>24770</v>
      </c>
      <c r="H3207" s="11" t="str">
        <f t="shared" si="102"/>
        <v>平成6年9月14日</v>
      </c>
      <c r="I3207" s="22">
        <f t="shared" si="103"/>
        <v>34591</v>
      </c>
      <c r="J3207" s="1" t="str">
        <f>"00743239"</f>
        <v>00743239</v>
      </c>
      <c r="K3207" s="1" t="str">
        <f>"４９７　　　　　　　　　　　　　　　　　"</f>
        <v>４９７　　　　　　　　　　　　　　　　　</v>
      </c>
      <c r="L3207" s="1"/>
    </row>
    <row r="3208" spans="1:12" ht="18" customHeight="1" x14ac:dyDescent="0.15">
      <c r="A3208" s="11">
        <v>3411</v>
      </c>
      <c r="B3208" s="11" t="s">
        <v>54</v>
      </c>
      <c r="C3208" s="11" t="s">
        <v>186</v>
      </c>
      <c r="D3208" s="11">
        <v>1</v>
      </c>
      <c r="E3208" s="11" t="s">
        <v>4</v>
      </c>
      <c r="F3208" s="12">
        <v>24770</v>
      </c>
      <c r="G3208" s="12">
        <v>24770</v>
      </c>
      <c r="H3208" s="11" t="str">
        <f t="shared" si="102"/>
        <v>平成6年9月14日</v>
      </c>
      <c r="I3208" s="22">
        <f t="shared" si="103"/>
        <v>34591</v>
      </c>
      <c r="J3208" s="1" t="str">
        <f>"00743241"</f>
        <v>00743241</v>
      </c>
      <c r="K3208" s="1" t="str">
        <f>"４９８　　　　　　　　　　　　　　　　　"</f>
        <v>４９８　　　　　　　　　　　　　　　　　</v>
      </c>
      <c r="L3208" s="1"/>
    </row>
    <row r="3209" spans="1:12" ht="18" customHeight="1" x14ac:dyDescent="0.15">
      <c r="A3209" s="11">
        <v>3412</v>
      </c>
      <c r="B3209" s="11" t="s">
        <v>54</v>
      </c>
      <c r="C3209" s="11" t="s">
        <v>186</v>
      </c>
      <c r="D3209" s="11">
        <v>1</v>
      </c>
      <c r="E3209" s="11" t="s">
        <v>4</v>
      </c>
      <c r="F3209" s="12">
        <v>24770</v>
      </c>
      <c r="G3209" s="12">
        <v>24770</v>
      </c>
      <c r="H3209" s="11" t="str">
        <f t="shared" si="102"/>
        <v>平成6年9月14日</v>
      </c>
      <c r="I3209" s="22">
        <f t="shared" si="103"/>
        <v>34591</v>
      </c>
      <c r="J3209" s="1" t="str">
        <f>"00743243"</f>
        <v>00743243</v>
      </c>
      <c r="K3209" s="1" t="str">
        <f>"４９９　　　　　　　　　　　　　　　　　"</f>
        <v>４９９　　　　　　　　　　　　　　　　　</v>
      </c>
      <c r="L3209" s="1"/>
    </row>
    <row r="3210" spans="1:12" ht="18" customHeight="1" x14ac:dyDescent="0.15">
      <c r="A3210" s="11">
        <v>3413</v>
      </c>
      <c r="B3210" s="11" t="s">
        <v>54</v>
      </c>
      <c r="C3210" s="11" t="s">
        <v>186</v>
      </c>
      <c r="D3210" s="11">
        <v>1</v>
      </c>
      <c r="E3210" s="11" t="s">
        <v>4</v>
      </c>
      <c r="F3210" s="12">
        <v>24770</v>
      </c>
      <c r="G3210" s="12">
        <v>24770</v>
      </c>
      <c r="H3210" s="11" t="str">
        <f t="shared" si="102"/>
        <v>平成6年9月14日</v>
      </c>
      <c r="I3210" s="22">
        <f t="shared" si="103"/>
        <v>34591</v>
      </c>
      <c r="J3210" s="1" t="str">
        <f>"00743245"</f>
        <v>00743245</v>
      </c>
      <c r="K3210" s="1" t="str">
        <f>"５００　　　　　　　　　　　　　　　　　"</f>
        <v>５００　　　　　　　　　　　　　　　　　</v>
      </c>
      <c r="L3210" s="1"/>
    </row>
    <row r="3211" spans="1:12" ht="18" customHeight="1" x14ac:dyDescent="0.15">
      <c r="A3211" s="11">
        <v>3414</v>
      </c>
      <c r="B3211" s="11" t="s">
        <v>54</v>
      </c>
      <c r="C3211" s="11" t="s">
        <v>186</v>
      </c>
      <c r="D3211" s="11">
        <v>1</v>
      </c>
      <c r="E3211" s="11" t="s">
        <v>4</v>
      </c>
      <c r="F3211" s="12">
        <v>24770</v>
      </c>
      <c r="G3211" s="12">
        <v>24770</v>
      </c>
      <c r="H3211" s="11" t="str">
        <f t="shared" si="102"/>
        <v>平成6年9月14日</v>
      </c>
      <c r="I3211" s="22">
        <f t="shared" si="103"/>
        <v>34591</v>
      </c>
      <c r="J3211" s="1" t="str">
        <f>"00743247"</f>
        <v>00743247</v>
      </c>
      <c r="K3211" s="1" t="str">
        <f>"５０１　　　　　　　　　　　　　　　　　"</f>
        <v>５０１　　　　　　　　　　　　　　　　　</v>
      </c>
      <c r="L3211" s="1"/>
    </row>
    <row r="3212" spans="1:12" ht="18" customHeight="1" x14ac:dyDescent="0.15">
      <c r="A3212" s="11">
        <v>3415</v>
      </c>
      <c r="B3212" s="11" t="s">
        <v>54</v>
      </c>
      <c r="C3212" s="11" t="s">
        <v>186</v>
      </c>
      <c r="D3212" s="11">
        <v>1</v>
      </c>
      <c r="E3212" s="11" t="s">
        <v>4</v>
      </c>
      <c r="F3212" s="12">
        <v>24770</v>
      </c>
      <c r="G3212" s="12">
        <v>24770</v>
      </c>
      <c r="H3212" s="11" t="str">
        <f t="shared" si="102"/>
        <v>平成6年9月14日</v>
      </c>
      <c r="I3212" s="22">
        <f t="shared" si="103"/>
        <v>34591</v>
      </c>
      <c r="J3212" s="1" t="str">
        <f>"00743249"</f>
        <v>00743249</v>
      </c>
      <c r="K3212" s="1" t="str">
        <f>"５０２　　　　　　　　　　　　　　　　　"</f>
        <v>５０２　　　　　　　　　　　　　　　　　</v>
      </c>
      <c r="L3212" s="1"/>
    </row>
    <row r="3213" spans="1:12" ht="18" customHeight="1" x14ac:dyDescent="0.15">
      <c r="A3213" s="11">
        <v>3416</v>
      </c>
      <c r="B3213" s="11" t="s">
        <v>54</v>
      </c>
      <c r="C3213" s="11" t="s">
        <v>186</v>
      </c>
      <c r="D3213" s="11">
        <v>1</v>
      </c>
      <c r="E3213" s="11" t="s">
        <v>4</v>
      </c>
      <c r="F3213" s="12">
        <v>24770</v>
      </c>
      <c r="G3213" s="12">
        <v>24770</v>
      </c>
      <c r="H3213" s="11" t="str">
        <f t="shared" si="102"/>
        <v>平成6年9月14日</v>
      </c>
      <c r="I3213" s="22">
        <f t="shared" si="103"/>
        <v>34591</v>
      </c>
      <c r="J3213" s="1" t="str">
        <f>"00743251"</f>
        <v>00743251</v>
      </c>
      <c r="K3213" s="1" t="str">
        <f>"５０３　　　　　　　　　　　　　　　　　"</f>
        <v>５０３　　　　　　　　　　　　　　　　　</v>
      </c>
      <c r="L3213" s="1"/>
    </row>
    <row r="3214" spans="1:12" ht="18" customHeight="1" x14ac:dyDescent="0.15">
      <c r="A3214" s="11">
        <v>3417</v>
      </c>
      <c r="B3214" s="11" t="s">
        <v>54</v>
      </c>
      <c r="C3214" s="11" t="s">
        <v>186</v>
      </c>
      <c r="D3214" s="11">
        <v>1</v>
      </c>
      <c r="E3214" s="11" t="s">
        <v>4</v>
      </c>
      <c r="F3214" s="12">
        <v>24770</v>
      </c>
      <c r="G3214" s="12">
        <v>24770</v>
      </c>
      <c r="H3214" s="11" t="str">
        <f t="shared" si="102"/>
        <v>平成6年9月14日</v>
      </c>
      <c r="I3214" s="22">
        <f t="shared" si="103"/>
        <v>34591</v>
      </c>
      <c r="J3214" s="1" t="str">
        <f>"00743253"</f>
        <v>00743253</v>
      </c>
      <c r="K3214" s="1" t="str">
        <f>"５０４　　　　　　　　　　　　　　　　　"</f>
        <v>５０４　　　　　　　　　　　　　　　　　</v>
      </c>
      <c r="L3214" s="1"/>
    </row>
    <row r="3215" spans="1:12" ht="18" customHeight="1" x14ac:dyDescent="0.15">
      <c r="A3215" s="11">
        <v>3418</v>
      </c>
      <c r="B3215" s="11" t="s">
        <v>54</v>
      </c>
      <c r="C3215" s="11" t="s">
        <v>186</v>
      </c>
      <c r="D3215" s="11">
        <v>1</v>
      </c>
      <c r="E3215" s="11" t="s">
        <v>4</v>
      </c>
      <c r="F3215" s="12">
        <v>24770</v>
      </c>
      <c r="G3215" s="12">
        <v>24770</v>
      </c>
      <c r="H3215" s="11" t="str">
        <f t="shared" ref="H3215:H3278" si="104">"平成6年9月14日"</f>
        <v>平成6年9月14日</v>
      </c>
      <c r="I3215" s="22">
        <f t="shared" si="103"/>
        <v>34591</v>
      </c>
      <c r="J3215" s="1" t="str">
        <f>"00743255"</f>
        <v>00743255</v>
      </c>
      <c r="K3215" s="1" t="str">
        <f>"５０５　　　　　　　　　　　　　　　　　"</f>
        <v>５０５　　　　　　　　　　　　　　　　　</v>
      </c>
      <c r="L3215" s="1"/>
    </row>
    <row r="3216" spans="1:12" ht="18" customHeight="1" x14ac:dyDescent="0.15">
      <c r="A3216" s="11">
        <v>3419</v>
      </c>
      <c r="B3216" s="11" t="s">
        <v>54</v>
      </c>
      <c r="C3216" s="11" t="s">
        <v>186</v>
      </c>
      <c r="D3216" s="11">
        <v>1</v>
      </c>
      <c r="E3216" s="11" t="s">
        <v>4</v>
      </c>
      <c r="F3216" s="12">
        <v>24770</v>
      </c>
      <c r="G3216" s="12">
        <v>24770</v>
      </c>
      <c r="H3216" s="11" t="str">
        <f t="shared" si="104"/>
        <v>平成6年9月14日</v>
      </c>
      <c r="I3216" s="22">
        <f t="shared" si="103"/>
        <v>34591</v>
      </c>
      <c r="J3216" s="1" t="str">
        <f>"00743257"</f>
        <v>00743257</v>
      </c>
      <c r="K3216" s="1" t="str">
        <f>"５０６　　　　　　　　　　　　　　　　　"</f>
        <v>５０６　　　　　　　　　　　　　　　　　</v>
      </c>
      <c r="L3216" s="1"/>
    </row>
    <row r="3217" spans="1:12" ht="18" customHeight="1" x14ac:dyDescent="0.15">
      <c r="A3217" s="11">
        <v>3420</v>
      </c>
      <c r="B3217" s="11" t="s">
        <v>54</v>
      </c>
      <c r="C3217" s="11" t="s">
        <v>186</v>
      </c>
      <c r="D3217" s="11">
        <v>1</v>
      </c>
      <c r="E3217" s="11" t="s">
        <v>4</v>
      </c>
      <c r="F3217" s="12">
        <v>24770</v>
      </c>
      <c r="G3217" s="12">
        <v>24770</v>
      </c>
      <c r="H3217" s="11" t="str">
        <f t="shared" si="104"/>
        <v>平成6年9月14日</v>
      </c>
      <c r="I3217" s="22">
        <f t="shared" si="103"/>
        <v>34591</v>
      </c>
      <c r="J3217" s="1" t="str">
        <f>"00743259"</f>
        <v>00743259</v>
      </c>
      <c r="K3217" s="1" t="str">
        <f>"５０７　　　　　　　　　　　　　　　　　"</f>
        <v>５０７　　　　　　　　　　　　　　　　　</v>
      </c>
      <c r="L3217" s="1"/>
    </row>
    <row r="3218" spans="1:12" ht="18" customHeight="1" x14ac:dyDescent="0.15">
      <c r="A3218" s="11">
        <v>3421</v>
      </c>
      <c r="B3218" s="11" t="s">
        <v>54</v>
      </c>
      <c r="C3218" s="11" t="s">
        <v>186</v>
      </c>
      <c r="D3218" s="11">
        <v>1</v>
      </c>
      <c r="E3218" s="11" t="s">
        <v>4</v>
      </c>
      <c r="F3218" s="12">
        <v>24770</v>
      </c>
      <c r="G3218" s="12">
        <v>24770</v>
      </c>
      <c r="H3218" s="11" t="str">
        <f t="shared" si="104"/>
        <v>平成6年9月14日</v>
      </c>
      <c r="I3218" s="22">
        <f t="shared" ref="I3218:I3281" si="105">DATEVALUE(H3218)</f>
        <v>34591</v>
      </c>
      <c r="J3218" s="1" t="str">
        <f>"00743261"</f>
        <v>00743261</v>
      </c>
      <c r="K3218" s="1" t="str">
        <f>"５０８　　　　　　　　　　　　　　　　　"</f>
        <v>５０８　　　　　　　　　　　　　　　　　</v>
      </c>
      <c r="L3218" s="1"/>
    </row>
    <row r="3219" spans="1:12" ht="18" customHeight="1" x14ac:dyDescent="0.15">
      <c r="A3219" s="11">
        <v>3422</v>
      </c>
      <c r="B3219" s="11" t="s">
        <v>54</v>
      </c>
      <c r="C3219" s="11" t="s">
        <v>186</v>
      </c>
      <c r="D3219" s="11">
        <v>1</v>
      </c>
      <c r="E3219" s="11" t="s">
        <v>4</v>
      </c>
      <c r="F3219" s="12">
        <v>24770</v>
      </c>
      <c r="G3219" s="12">
        <v>24770</v>
      </c>
      <c r="H3219" s="11" t="str">
        <f t="shared" si="104"/>
        <v>平成6年9月14日</v>
      </c>
      <c r="I3219" s="22">
        <f t="shared" si="105"/>
        <v>34591</v>
      </c>
      <c r="J3219" s="1" t="str">
        <f>"00743263"</f>
        <v>00743263</v>
      </c>
      <c r="K3219" s="1" t="str">
        <f>"５０９　　　　　　　　　　　　　　　　　"</f>
        <v>５０９　　　　　　　　　　　　　　　　　</v>
      </c>
      <c r="L3219" s="1"/>
    </row>
    <row r="3220" spans="1:12" ht="18" customHeight="1" x14ac:dyDescent="0.15">
      <c r="A3220" s="11">
        <v>3423</v>
      </c>
      <c r="B3220" s="11" t="s">
        <v>54</v>
      </c>
      <c r="C3220" s="11" t="s">
        <v>186</v>
      </c>
      <c r="D3220" s="11">
        <v>1</v>
      </c>
      <c r="E3220" s="11" t="s">
        <v>4</v>
      </c>
      <c r="F3220" s="12">
        <v>24770</v>
      </c>
      <c r="G3220" s="12">
        <v>24770</v>
      </c>
      <c r="H3220" s="11" t="str">
        <f t="shared" si="104"/>
        <v>平成6年9月14日</v>
      </c>
      <c r="I3220" s="22">
        <f t="shared" si="105"/>
        <v>34591</v>
      </c>
      <c r="J3220" s="1" t="str">
        <f>"00743265"</f>
        <v>00743265</v>
      </c>
      <c r="K3220" s="1" t="str">
        <f>"５１０　　　　　　　　　　　　　　　　　"</f>
        <v>５１０　　　　　　　　　　　　　　　　　</v>
      </c>
      <c r="L3220" s="1"/>
    </row>
    <row r="3221" spans="1:12" ht="18" customHeight="1" x14ac:dyDescent="0.15">
      <c r="A3221" s="11">
        <v>3424</v>
      </c>
      <c r="B3221" s="11" t="s">
        <v>54</v>
      </c>
      <c r="C3221" s="11" t="s">
        <v>186</v>
      </c>
      <c r="D3221" s="11">
        <v>1</v>
      </c>
      <c r="E3221" s="11" t="s">
        <v>4</v>
      </c>
      <c r="F3221" s="12">
        <v>24770</v>
      </c>
      <c r="G3221" s="12">
        <v>24770</v>
      </c>
      <c r="H3221" s="11" t="str">
        <f t="shared" si="104"/>
        <v>平成6年9月14日</v>
      </c>
      <c r="I3221" s="22">
        <f t="shared" si="105"/>
        <v>34591</v>
      </c>
      <c r="J3221" s="1" t="str">
        <f>"00743267"</f>
        <v>00743267</v>
      </c>
      <c r="K3221" s="1" t="str">
        <f>"５１１　　　　　　　　　　　　　　　　　"</f>
        <v>５１１　　　　　　　　　　　　　　　　　</v>
      </c>
      <c r="L3221" s="1"/>
    </row>
    <row r="3222" spans="1:12" ht="18" customHeight="1" x14ac:dyDescent="0.15">
      <c r="A3222" s="11">
        <v>3425</v>
      </c>
      <c r="B3222" s="11" t="s">
        <v>54</v>
      </c>
      <c r="C3222" s="11" t="s">
        <v>186</v>
      </c>
      <c r="D3222" s="11">
        <v>1</v>
      </c>
      <c r="E3222" s="11" t="s">
        <v>4</v>
      </c>
      <c r="F3222" s="12">
        <v>24770</v>
      </c>
      <c r="G3222" s="12">
        <v>24770</v>
      </c>
      <c r="H3222" s="11" t="str">
        <f t="shared" si="104"/>
        <v>平成6年9月14日</v>
      </c>
      <c r="I3222" s="22">
        <f t="shared" si="105"/>
        <v>34591</v>
      </c>
      <c r="J3222" s="1" t="str">
        <f>"00743269"</f>
        <v>00743269</v>
      </c>
      <c r="K3222" s="1" t="str">
        <f>"５１２　　　　　　　　　　　　　　　　　"</f>
        <v>５１２　　　　　　　　　　　　　　　　　</v>
      </c>
      <c r="L3222" s="1"/>
    </row>
    <row r="3223" spans="1:12" ht="18" customHeight="1" x14ac:dyDescent="0.15">
      <c r="A3223" s="11">
        <v>3426</v>
      </c>
      <c r="B3223" s="11" t="s">
        <v>54</v>
      </c>
      <c r="C3223" s="11" t="s">
        <v>186</v>
      </c>
      <c r="D3223" s="11">
        <v>1</v>
      </c>
      <c r="E3223" s="11" t="s">
        <v>4</v>
      </c>
      <c r="F3223" s="12">
        <v>24770</v>
      </c>
      <c r="G3223" s="12">
        <v>24770</v>
      </c>
      <c r="H3223" s="11" t="str">
        <f t="shared" si="104"/>
        <v>平成6年9月14日</v>
      </c>
      <c r="I3223" s="22">
        <f t="shared" si="105"/>
        <v>34591</v>
      </c>
      <c r="J3223" s="1" t="str">
        <f>"00743271"</f>
        <v>00743271</v>
      </c>
      <c r="K3223" s="1" t="str">
        <f>"５１３　　　　　　　　　　　　　　　　　"</f>
        <v>５１３　　　　　　　　　　　　　　　　　</v>
      </c>
      <c r="L3223" s="1"/>
    </row>
    <row r="3224" spans="1:12" ht="18" customHeight="1" x14ac:dyDescent="0.15">
      <c r="A3224" s="11">
        <v>3427</v>
      </c>
      <c r="B3224" s="11" t="s">
        <v>54</v>
      </c>
      <c r="C3224" s="11" t="s">
        <v>186</v>
      </c>
      <c r="D3224" s="11">
        <v>1</v>
      </c>
      <c r="E3224" s="11" t="s">
        <v>4</v>
      </c>
      <c r="F3224" s="12">
        <v>24770</v>
      </c>
      <c r="G3224" s="12">
        <v>24770</v>
      </c>
      <c r="H3224" s="11" t="str">
        <f t="shared" si="104"/>
        <v>平成6年9月14日</v>
      </c>
      <c r="I3224" s="22">
        <f t="shared" si="105"/>
        <v>34591</v>
      </c>
      <c r="J3224" s="1" t="str">
        <f>"00743273"</f>
        <v>00743273</v>
      </c>
      <c r="K3224" s="1" t="str">
        <f>"５１４　　　　　　　　　　　　　　　　　"</f>
        <v>５１４　　　　　　　　　　　　　　　　　</v>
      </c>
      <c r="L3224" s="1"/>
    </row>
    <row r="3225" spans="1:12" ht="18" customHeight="1" x14ac:dyDescent="0.15">
      <c r="A3225" s="11">
        <v>3428</v>
      </c>
      <c r="B3225" s="11" t="s">
        <v>54</v>
      </c>
      <c r="C3225" s="11" t="s">
        <v>186</v>
      </c>
      <c r="D3225" s="11">
        <v>1</v>
      </c>
      <c r="E3225" s="11" t="s">
        <v>4</v>
      </c>
      <c r="F3225" s="12">
        <v>24770</v>
      </c>
      <c r="G3225" s="12">
        <v>24770</v>
      </c>
      <c r="H3225" s="11" t="str">
        <f t="shared" si="104"/>
        <v>平成6年9月14日</v>
      </c>
      <c r="I3225" s="22">
        <f t="shared" si="105"/>
        <v>34591</v>
      </c>
      <c r="J3225" s="1" t="str">
        <f>"00743275"</f>
        <v>00743275</v>
      </c>
      <c r="K3225" s="1" t="str">
        <f>"５１５　　　　　　　　　　　　　　　　　"</f>
        <v>５１５　　　　　　　　　　　　　　　　　</v>
      </c>
      <c r="L3225" s="1"/>
    </row>
    <row r="3226" spans="1:12" ht="18" customHeight="1" x14ac:dyDescent="0.15">
      <c r="A3226" s="11">
        <v>3429</v>
      </c>
      <c r="B3226" s="11" t="s">
        <v>54</v>
      </c>
      <c r="C3226" s="11" t="s">
        <v>186</v>
      </c>
      <c r="D3226" s="11">
        <v>1</v>
      </c>
      <c r="E3226" s="11" t="s">
        <v>4</v>
      </c>
      <c r="F3226" s="12">
        <v>24770</v>
      </c>
      <c r="G3226" s="12">
        <v>24770</v>
      </c>
      <c r="H3226" s="11" t="str">
        <f t="shared" si="104"/>
        <v>平成6年9月14日</v>
      </c>
      <c r="I3226" s="22">
        <f t="shared" si="105"/>
        <v>34591</v>
      </c>
      <c r="J3226" s="1" t="str">
        <f>"00743277"</f>
        <v>00743277</v>
      </c>
      <c r="K3226" s="1" t="str">
        <f>"５１６　　　　　　　　　　　　　　　　　"</f>
        <v>５１６　　　　　　　　　　　　　　　　　</v>
      </c>
      <c r="L3226" s="1"/>
    </row>
    <row r="3227" spans="1:12" ht="18" customHeight="1" x14ac:dyDescent="0.15">
      <c r="A3227" s="11">
        <v>3430</v>
      </c>
      <c r="B3227" s="11" t="s">
        <v>54</v>
      </c>
      <c r="C3227" s="11" t="s">
        <v>186</v>
      </c>
      <c r="D3227" s="11">
        <v>1</v>
      </c>
      <c r="E3227" s="11" t="s">
        <v>4</v>
      </c>
      <c r="F3227" s="12">
        <v>24770</v>
      </c>
      <c r="G3227" s="12">
        <v>24770</v>
      </c>
      <c r="H3227" s="11" t="str">
        <f t="shared" si="104"/>
        <v>平成6年9月14日</v>
      </c>
      <c r="I3227" s="22">
        <f t="shared" si="105"/>
        <v>34591</v>
      </c>
      <c r="J3227" s="1" t="str">
        <f>"00743279"</f>
        <v>00743279</v>
      </c>
      <c r="K3227" s="1" t="str">
        <f>"５１７　　　　　　　　　　　　　　　　　"</f>
        <v>５１７　　　　　　　　　　　　　　　　　</v>
      </c>
      <c r="L3227" s="1"/>
    </row>
    <row r="3228" spans="1:12" ht="18" customHeight="1" x14ac:dyDescent="0.15">
      <c r="A3228" s="11">
        <v>3431</v>
      </c>
      <c r="B3228" s="11" t="s">
        <v>54</v>
      </c>
      <c r="C3228" s="11" t="s">
        <v>186</v>
      </c>
      <c r="D3228" s="11">
        <v>1</v>
      </c>
      <c r="E3228" s="11" t="s">
        <v>4</v>
      </c>
      <c r="F3228" s="12">
        <v>24770</v>
      </c>
      <c r="G3228" s="12">
        <v>24770</v>
      </c>
      <c r="H3228" s="11" t="str">
        <f t="shared" si="104"/>
        <v>平成6年9月14日</v>
      </c>
      <c r="I3228" s="22">
        <f t="shared" si="105"/>
        <v>34591</v>
      </c>
      <c r="J3228" s="1" t="str">
        <f>"00743281"</f>
        <v>00743281</v>
      </c>
      <c r="K3228" s="1" t="str">
        <f>"５１８　　　　　　　　　　　　　　　　　"</f>
        <v>５１８　　　　　　　　　　　　　　　　　</v>
      </c>
      <c r="L3228" s="1"/>
    </row>
    <row r="3229" spans="1:12" ht="18" customHeight="1" x14ac:dyDescent="0.15">
      <c r="A3229" s="11">
        <v>3432</v>
      </c>
      <c r="B3229" s="11" t="s">
        <v>54</v>
      </c>
      <c r="C3229" s="11" t="s">
        <v>186</v>
      </c>
      <c r="D3229" s="11">
        <v>1</v>
      </c>
      <c r="E3229" s="11" t="s">
        <v>4</v>
      </c>
      <c r="F3229" s="12">
        <v>24770</v>
      </c>
      <c r="G3229" s="12">
        <v>24770</v>
      </c>
      <c r="H3229" s="11" t="str">
        <f t="shared" si="104"/>
        <v>平成6年9月14日</v>
      </c>
      <c r="I3229" s="22">
        <f t="shared" si="105"/>
        <v>34591</v>
      </c>
      <c r="J3229" s="1" t="str">
        <f>"00743283"</f>
        <v>00743283</v>
      </c>
      <c r="K3229" s="1" t="str">
        <f>"５１９　　　　　　　　　　　　　　　　　"</f>
        <v>５１９　　　　　　　　　　　　　　　　　</v>
      </c>
      <c r="L3229" s="1"/>
    </row>
    <row r="3230" spans="1:12" ht="18" customHeight="1" x14ac:dyDescent="0.15">
      <c r="A3230" s="11">
        <v>3433</v>
      </c>
      <c r="B3230" s="11" t="s">
        <v>54</v>
      </c>
      <c r="C3230" s="11" t="s">
        <v>186</v>
      </c>
      <c r="D3230" s="11">
        <v>1</v>
      </c>
      <c r="E3230" s="11" t="s">
        <v>4</v>
      </c>
      <c r="F3230" s="12">
        <v>24770</v>
      </c>
      <c r="G3230" s="12">
        <v>24770</v>
      </c>
      <c r="H3230" s="11" t="str">
        <f t="shared" si="104"/>
        <v>平成6年9月14日</v>
      </c>
      <c r="I3230" s="22">
        <f t="shared" si="105"/>
        <v>34591</v>
      </c>
      <c r="J3230" s="1" t="str">
        <f>"00743284"</f>
        <v>00743284</v>
      </c>
      <c r="K3230" s="1" t="str">
        <f>"５２０　　　　　　　　　　　　　　　　　"</f>
        <v>５２０　　　　　　　　　　　　　　　　　</v>
      </c>
      <c r="L3230" s="1"/>
    </row>
    <row r="3231" spans="1:12" ht="18" customHeight="1" x14ac:dyDescent="0.15">
      <c r="A3231" s="11">
        <v>3434</v>
      </c>
      <c r="B3231" s="11" t="s">
        <v>54</v>
      </c>
      <c r="C3231" s="11" t="s">
        <v>186</v>
      </c>
      <c r="D3231" s="11">
        <v>1</v>
      </c>
      <c r="E3231" s="11" t="s">
        <v>4</v>
      </c>
      <c r="F3231" s="12">
        <v>24770</v>
      </c>
      <c r="G3231" s="12">
        <v>24770</v>
      </c>
      <c r="H3231" s="11" t="str">
        <f t="shared" si="104"/>
        <v>平成6年9月14日</v>
      </c>
      <c r="I3231" s="22">
        <f t="shared" si="105"/>
        <v>34591</v>
      </c>
      <c r="J3231" s="1" t="str">
        <f>"00743286"</f>
        <v>00743286</v>
      </c>
      <c r="K3231" s="1" t="str">
        <f>"５２１　　　　　　　　　　　　　　　　　"</f>
        <v>５２１　　　　　　　　　　　　　　　　　</v>
      </c>
      <c r="L3231" s="1"/>
    </row>
    <row r="3232" spans="1:12" ht="18" customHeight="1" x14ac:dyDescent="0.15">
      <c r="A3232" s="11">
        <v>3435</v>
      </c>
      <c r="B3232" s="11" t="s">
        <v>54</v>
      </c>
      <c r="C3232" s="11" t="s">
        <v>186</v>
      </c>
      <c r="D3232" s="11">
        <v>1</v>
      </c>
      <c r="E3232" s="11" t="s">
        <v>4</v>
      </c>
      <c r="F3232" s="12">
        <v>24770</v>
      </c>
      <c r="G3232" s="12">
        <v>24770</v>
      </c>
      <c r="H3232" s="11" t="str">
        <f t="shared" si="104"/>
        <v>平成6年9月14日</v>
      </c>
      <c r="I3232" s="22">
        <f t="shared" si="105"/>
        <v>34591</v>
      </c>
      <c r="J3232" s="1" t="str">
        <f>"00743288"</f>
        <v>00743288</v>
      </c>
      <c r="K3232" s="1" t="str">
        <f>"５２２　　　　　　　　　　　　　　　　　"</f>
        <v>５２２　　　　　　　　　　　　　　　　　</v>
      </c>
      <c r="L3232" s="1"/>
    </row>
    <row r="3233" spans="1:12" ht="18" customHeight="1" x14ac:dyDescent="0.15">
      <c r="A3233" s="11">
        <v>3436</v>
      </c>
      <c r="B3233" s="11" t="s">
        <v>54</v>
      </c>
      <c r="C3233" s="11" t="s">
        <v>186</v>
      </c>
      <c r="D3233" s="11">
        <v>1</v>
      </c>
      <c r="E3233" s="11" t="s">
        <v>4</v>
      </c>
      <c r="F3233" s="12">
        <v>24770</v>
      </c>
      <c r="G3233" s="12">
        <v>24770</v>
      </c>
      <c r="H3233" s="11" t="str">
        <f t="shared" si="104"/>
        <v>平成6年9月14日</v>
      </c>
      <c r="I3233" s="22">
        <f t="shared" si="105"/>
        <v>34591</v>
      </c>
      <c r="J3233" s="1" t="str">
        <f>"00743290"</f>
        <v>00743290</v>
      </c>
      <c r="K3233" s="1" t="str">
        <f>"５２３　　　　　　　　　　　　　　　　　"</f>
        <v>５２３　　　　　　　　　　　　　　　　　</v>
      </c>
      <c r="L3233" s="1"/>
    </row>
    <row r="3234" spans="1:12" ht="18" customHeight="1" x14ac:dyDescent="0.15">
      <c r="A3234" s="11">
        <v>3437</v>
      </c>
      <c r="B3234" s="11" t="s">
        <v>54</v>
      </c>
      <c r="C3234" s="11" t="s">
        <v>186</v>
      </c>
      <c r="D3234" s="11">
        <v>1</v>
      </c>
      <c r="E3234" s="11" t="s">
        <v>4</v>
      </c>
      <c r="F3234" s="12">
        <v>24770</v>
      </c>
      <c r="G3234" s="12">
        <v>24770</v>
      </c>
      <c r="H3234" s="11" t="str">
        <f t="shared" si="104"/>
        <v>平成6年9月14日</v>
      </c>
      <c r="I3234" s="22">
        <f t="shared" si="105"/>
        <v>34591</v>
      </c>
      <c r="J3234" s="1" t="str">
        <f>"00743292"</f>
        <v>00743292</v>
      </c>
      <c r="K3234" s="1" t="str">
        <f>"５２４　　　　　　　　　　　　　　　　　"</f>
        <v>５２４　　　　　　　　　　　　　　　　　</v>
      </c>
      <c r="L3234" s="1"/>
    </row>
    <row r="3235" spans="1:12" ht="18" customHeight="1" x14ac:dyDescent="0.15">
      <c r="A3235" s="11">
        <v>3438</v>
      </c>
      <c r="B3235" s="11" t="s">
        <v>54</v>
      </c>
      <c r="C3235" s="11" t="s">
        <v>186</v>
      </c>
      <c r="D3235" s="11">
        <v>1</v>
      </c>
      <c r="E3235" s="11" t="s">
        <v>4</v>
      </c>
      <c r="F3235" s="12">
        <v>24770</v>
      </c>
      <c r="G3235" s="12">
        <v>24770</v>
      </c>
      <c r="H3235" s="11" t="str">
        <f t="shared" si="104"/>
        <v>平成6年9月14日</v>
      </c>
      <c r="I3235" s="22">
        <f t="shared" si="105"/>
        <v>34591</v>
      </c>
      <c r="J3235" s="1" t="str">
        <f>"00743295"</f>
        <v>00743295</v>
      </c>
      <c r="K3235" s="1" t="str">
        <f>"５２５　　　　　　　　　　　　　　　　　"</f>
        <v>５２５　　　　　　　　　　　　　　　　　</v>
      </c>
      <c r="L3235" s="1"/>
    </row>
    <row r="3236" spans="1:12" ht="18" customHeight="1" x14ac:dyDescent="0.15">
      <c r="A3236" s="11">
        <v>3439</v>
      </c>
      <c r="B3236" s="11" t="s">
        <v>54</v>
      </c>
      <c r="C3236" s="11" t="s">
        <v>186</v>
      </c>
      <c r="D3236" s="11">
        <v>1</v>
      </c>
      <c r="E3236" s="11" t="s">
        <v>4</v>
      </c>
      <c r="F3236" s="12">
        <v>24770</v>
      </c>
      <c r="G3236" s="12">
        <v>24770</v>
      </c>
      <c r="H3236" s="11" t="str">
        <f t="shared" si="104"/>
        <v>平成6年9月14日</v>
      </c>
      <c r="I3236" s="22">
        <f t="shared" si="105"/>
        <v>34591</v>
      </c>
      <c r="J3236" s="1" t="str">
        <f>"00743297"</f>
        <v>00743297</v>
      </c>
      <c r="K3236" s="1" t="str">
        <f>"５２６　　　　　　　　　　　　　　　　　"</f>
        <v>５２６　　　　　　　　　　　　　　　　　</v>
      </c>
      <c r="L3236" s="1"/>
    </row>
    <row r="3237" spans="1:12" ht="18" customHeight="1" x14ac:dyDescent="0.15">
      <c r="A3237" s="11">
        <v>3440</v>
      </c>
      <c r="B3237" s="11" t="s">
        <v>54</v>
      </c>
      <c r="C3237" s="11" t="s">
        <v>186</v>
      </c>
      <c r="D3237" s="11">
        <v>1</v>
      </c>
      <c r="E3237" s="11" t="s">
        <v>4</v>
      </c>
      <c r="F3237" s="12">
        <v>24770</v>
      </c>
      <c r="G3237" s="12">
        <v>24770</v>
      </c>
      <c r="H3237" s="11" t="str">
        <f t="shared" si="104"/>
        <v>平成6年9月14日</v>
      </c>
      <c r="I3237" s="22">
        <f t="shared" si="105"/>
        <v>34591</v>
      </c>
      <c r="J3237" s="1" t="str">
        <f>"00743299"</f>
        <v>00743299</v>
      </c>
      <c r="K3237" s="1" t="str">
        <f>"５２７　　　　　　　　　　　　　　　　　"</f>
        <v>５２７　　　　　　　　　　　　　　　　　</v>
      </c>
      <c r="L3237" s="1"/>
    </row>
    <row r="3238" spans="1:12" ht="18" customHeight="1" x14ac:dyDescent="0.15">
      <c r="A3238" s="11">
        <v>3441</v>
      </c>
      <c r="B3238" s="11" t="s">
        <v>54</v>
      </c>
      <c r="C3238" s="11" t="s">
        <v>186</v>
      </c>
      <c r="D3238" s="11">
        <v>1</v>
      </c>
      <c r="E3238" s="11" t="s">
        <v>4</v>
      </c>
      <c r="F3238" s="12">
        <v>24770</v>
      </c>
      <c r="G3238" s="12">
        <v>24770</v>
      </c>
      <c r="H3238" s="11" t="str">
        <f t="shared" si="104"/>
        <v>平成6年9月14日</v>
      </c>
      <c r="I3238" s="22">
        <f t="shared" si="105"/>
        <v>34591</v>
      </c>
      <c r="J3238" s="1" t="str">
        <f>"00743301"</f>
        <v>00743301</v>
      </c>
      <c r="K3238" s="1" t="str">
        <f>"５２８　　　　　　　　　　　　　　　　　"</f>
        <v>５２８　　　　　　　　　　　　　　　　　</v>
      </c>
      <c r="L3238" s="1"/>
    </row>
    <row r="3239" spans="1:12" ht="18" customHeight="1" x14ac:dyDescent="0.15">
      <c r="A3239" s="11">
        <v>3442</v>
      </c>
      <c r="B3239" s="11" t="s">
        <v>54</v>
      </c>
      <c r="C3239" s="11" t="s">
        <v>186</v>
      </c>
      <c r="D3239" s="11">
        <v>1</v>
      </c>
      <c r="E3239" s="11" t="s">
        <v>4</v>
      </c>
      <c r="F3239" s="12">
        <v>24770</v>
      </c>
      <c r="G3239" s="12">
        <v>24770</v>
      </c>
      <c r="H3239" s="11" t="str">
        <f t="shared" si="104"/>
        <v>平成6年9月14日</v>
      </c>
      <c r="I3239" s="22">
        <f t="shared" si="105"/>
        <v>34591</v>
      </c>
      <c r="J3239" s="1" t="str">
        <f>"00743303"</f>
        <v>00743303</v>
      </c>
      <c r="K3239" s="1" t="str">
        <f>"５２９　　　　　　　　　　　　　　　　　"</f>
        <v>５２９　　　　　　　　　　　　　　　　　</v>
      </c>
      <c r="L3239" s="1"/>
    </row>
    <row r="3240" spans="1:12" ht="18" customHeight="1" x14ac:dyDescent="0.15">
      <c r="A3240" s="11">
        <v>3443</v>
      </c>
      <c r="B3240" s="11" t="s">
        <v>54</v>
      </c>
      <c r="C3240" s="11" t="s">
        <v>186</v>
      </c>
      <c r="D3240" s="11">
        <v>1</v>
      </c>
      <c r="E3240" s="11" t="s">
        <v>4</v>
      </c>
      <c r="F3240" s="12">
        <v>24770</v>
      </c>
      <c r="G3240" s="12">
        <v>24770</v>
      </c>
      <c r="H3240" s="11" t="str">
        <f t="shared" si="104"/>
        <v>平成6年9月14日</v>
      </c>
      <c r="I3240" s="22">
        <f t="shared" si="105"/>
        <v>34591</v>
      </c>
      <c r="J3240" s="1" t="str">
        <f>"00743305"</f>
        <v>00743305</v>
      </c>
      <c r="K3240" s="1" t="str">
        <f>"５３０　　　　　　　　　　　　　　　　　"</f>
        <v>５３０　　　　　　　　　　　　　　　　　</v>
      </c>
      <c r="L3240" s="1"/>
    </row>
    <row r="3241" spans="1:12" ht="18" customHeight="1" x14ac:dyDescent="0.15">
      <c r="A3241" s="11">
        <v>3444</v>
      </c>
      <c r="B3241" s="11" t="s">
        <v>54</v>
      </c>
      <c r="C3241" s="11" t="s">
        <v>186</v>
      </c>
      <c r="D3241" s="11">
        <v>1</v>
      </c>
      <c r="E3241" s="11" t="s">
        <v>4</v>
      </c>
      <c r="F3241" s="12">
        <v>24770</v>
      </c>
      <c r="G3241" s="12">
        <v>24770</v>
      </c>
      <c r="H3241" s="11" t="str">
        <f t="shared" si="104"/>
        <v>平成6年9月14日</v>
      </c>
      <c r="I3241" s="22">
        <f t="shared" si="105"/>
        <v>34591</v>
      </c>
      <c r="J3241" s="1" t="str">
        <f>"00743307"</f>
        <v>00743307</v>
      </c>
      <c r="K3241" s="1" t="str">
        <f>"５３１　　　　　　　　　　　　　　　　　"</f>
        <v>５３１　　　　　　　　　　　　　　　　　</v>
      </c>
      <c r="L3241" s="1"/>
    </row>
    <row r="3242" spans="1:12" ht="18" customHeight="1" x14ac:dyDescent="0.15">
      <c r="A3242" s="11">
        <v>3445</v>
      </c>
      <c r="B3242" s="11" t="s">
        <v>54</v>
      </c>
      <c r="C3242" s="11" t="s">
        <v>186</v>
      </c>
      <c r="D3242" s="11">
        <v>1</v>
      </c>
      <c r="E3242" s="11" t="s">
        <v>4</v>
      </c>
      <c r="F3242" s="12">
        <v>24770</v>
      </c>
      <c r="G3242" s="12">
        <v>24770</v>
      </c>
      <c r="H3242" s="11" t="str">
        <f t="shared" si="104"/>
        <v>平成6年9月14日</v>
      </c>
      <c r="I3242" s="22">
        <f t="shared" si="105"/>
        <v>34591</v>
      </c>
      <c r="J3242" s="1" t="str">
        <f>"00743309"</f>
        <v>00743309</v>
      </c>
      <c r="K3242" s="1" t="str">
        <f>"５３２　　　　　　　　　　　　　　　　　"</f>
        <v>５３２　　　　　　　　　　　　　　　　　</v>
      </c>
      <c r="L3242" s="1"/>
    </row>
    <row r="3243" spans="1:12" ht="18" customHeight="1" x14ac:dyDescent="0.15">
      <c r="A3243" s="11">
        <v>3446</v>
      </c>
      <c r="B3243" s="11" t="s">
        <v>54</v>
      </c>
      <c r="C3243" s="11" t="s">
        <v>186</v>
      </c>
      <c r="D3243" s="11">
        <v>1</v>
      </c>
      <c r="E3243" s="11" t="s">
        <v>4</v>
      </c>
      <c r="F3243" s="12">
        <v>24770</v>
      </c>
      <c r="G3243" s="12">
        <v>24770</v>
      </c>
      <c r="H3243" s="11" t="str">
        <f t="shared" si="104"/>
        <v>平成6年9月14日</v>
      </c>
      <c r="I3243" s="22">
        <f t="shared" si="105"/>
        <v>34591</v>
      </c>
      <c r="J3243" s="1" t="str">
        <f>"00743311"</f>
        <v>00743311</v>
      </c>
      <c r="K3243" s="1" t="str">
        <f>"５３３　　　　　　　　　　　　　　　　　"</f>
        <v>５３３　　　　　　　　　　　　　　　　　</v>
      </c>
      <c r="L3243" s="1"/>
    </row>
    <row r="3244" spans="1:12" ht="18" customHeight="1" x14ac:dyDescent="0.15">
      <c r="A3244" s="11">
        <v>3447</v>
      </c>
      <c r="B3244" s="11" t="s">
        <v>54</v>
      </c>
      <c r="C3244" s="11" t="s">
        <v>186</v>
      </c>
      <c r="D3244" s="11">
        <v>1</v>
      </c>
      <c r="E3244" s="11" t="s">
        <v>4</v>
      </c>
      <c r="F3244" s="12">
        <v>24770</v>
      </c>
      <c r="G3244" s="12">
        <v>24770</v>
      </c>
      <c r="H3244" s="11" t="str">
        <f t="shared" si="104"/>
        <v>平成6年9月14日</v>
      </c>
      <c r="I3244" s="22">
        <f t="shared" si="105"/>
        <v>34591</v>
      </c>
      <c r="J3244" s="1" t="str">
        <f>"00743313"</f>
        <v>00743313</v>
      </c>
      <c r="K3244" s="1" t="str">
        <f>"５３４　　　　　　　　　　　　　　　　　"</f>
        <v>５３４　　　　　　　　　　　　　　　　　</v>
      </c>
      <c r="L3244" s="1"/>
    </row>
    <row r="3245" spans="1:12" ht="18" customHeight="1" x14ac:dyDescent="0.15">
      <c r="A3245" s="11">
        <v>3448</v>
      </c>
      <c r="B3245" s="11" t="s">
        <v>54</v>
      </c>
      <c r="C3245" s="11" t="s">
        <v>186</v>
      </c>
      <c r="D3245" s="11">
        <v>1</v>
      </c>
      <c r="E3245" s="11" t="s">
        <v>4</v>
      </c>
      <c r="F3245" s="12">
        <v>24770</v>
      </c>
      <c r="G3245" s="12">
        <v>24770</v>
      </c>
      <c r="H3245" s="11" t="str">
        <f t="shared" si="104"/>
        <v>平成6年9月14日</v>
      </c>
      <c r="I3245" s="22">
        <f t="shared" si="105"/>
        <v>34591</v>
      </c>
      <c r="J3245" s="1" t="str">
        <f>"00743315"</f>
        <v>00743315</v>
      </c>
      <c r="K3245" s="1" t="str">
        <f>"５３５　　　　　　　　　　　　　　　　　"</f>
        <v>５３５　　　　　　　　　　　　　　　　　</v>
      </c>
      <c r="L3245" s="1"/>
    </row>
    <row r="3246" spans="1:12" ht="18" customHeight="1" x14ac:dyDescent="0.15">
      <c r="A3246" s="11">
        <v>3449</v>
      </c>
      <c r="B3246" s="11" t="s">
        <v>54</v>
      </c>
      <c r="C3246" s="11" t="s">
        <v>186</v>
      </c>
      <c r="D3246" s="11">
        <v>1</v>
      </c>
      <c r="E3246" s="11" t="s">
        <v>4</v>
      </c>
      <c r="F3246" s="12">
        <v>24770</v>
      </c>
      <c r="G3246" s="12">
        <v>24770</v>
      </c>
      <c r="H3246" s="11" t="str">
        <f t="shared" si="104"/>
        <v>平成6年9月14日</v>
      </c>
      <c r="I3246" s="22">
        <f t="shared" si="105"/>
        <v>34591</v>
      </c>
      <c r="J3246" s="1" t="str">
        <f>"00743317"</f>
        <v>00743317</v>
      </c>
      <c r="K3246" s="1" t="str">
        <f>"５３６　　　　　　　　　　　　　　　　　"</f>
        <v>５３６　　　　　　　　　　　　　　　　　</v>
      </c>
      <c r="L3246" s="1"/>
    </row>
    <row r="3247" spans="1:12" ht="18" customHeight="1" x14ac:dyDescent="0.15">
      <c r="A3247" s="11">
        <v>3450</v>
      </c>
      <c r="B3247" s="11" t="s">
        <v>54</v>
      </c>
      <c r="C3247" s="11" t="s">
        <v>186</v>
      </c>
      <c r="D3247" s="11">
        <v>1</v>
      </c>
      <c r="E3247" s="11" t="s">
        <v>4</v>
      </c>
      <c r="F3247" s="12">
        <v>24770</v>
      </c>
      <c r="G3247" s="12">
        <v>24770</v>
      </c>
      <c r="H3247" s="11" t="str">
        <f t="shared" si="104"/>
        <v>平成6年9月14日</v>
      </c>
      <c r="I3247" s="22">
        <f t="shared" si="105"/>
        <v>34591</v>
      </c>
      <c r="J3247" s="1" t="str">
        <f>"00743319"</f>
        <v>00743319</v>
      </c>
      <c r="K3247" s="1" t="str">
        <f>"５３７　　　　　　　　　　　　　　　　　"</f>
        <v>５３７　　　　　　　　　　　　　　　　　</v>
      </c>
      <c r="L3247" s="1"/>
    </row>
    <row r="3248" spans="1:12" ht="18" customHeight="1" x14ac:dyDescent="0.15">
      <c r="A3248" s="11">
        <v>3451</v>
      </c>
      <c r="B3248" s="11" t="s">
        <v>54</v>
      </c>
      <c r="C3248" s="11" t="s">
        <v>186</v>
      </c>
      <c r="D3248" s="11">
        <v>1</v>
      </c>
      <c r="E3248" s="11" t="s">
        <v>4</v>
      </c>
      <c r="F3248" s="12">
        <v>24770</v>
      </c>
      <c r="G3248" s="12">
        <v>24770</v>
      </c>
      <c r="H3248" s="11" t="str">
        <f t="shared" si="104"/>
        <v>平成6年9月14日</v>
      </c>
      <c r="I3248" s="22">
        <f t="shared" si="105"/>
        <v>34591</v>
      </c>
      <c r="J3248" s="1" t="str">
        <f>"00743321"</f>
        <v>00743321</v>
      </c>
      <c r="K3248" s="1" t="str">
        <f>"５３８　　　　　　　　　　　　　　　　　"</f>
        <v>５３８　　　　　　　　　　　　　　　　　</v>
      </c>
      <c r="L3248" s="1"/>
    </row>
    <row r="3249" spans="1:12" ht="18" customHeight="1" x14ac:dyDescent="0.15">
      <c r="A3249" s="11">
        <v>3452</v>
      </c>
      <c r="B3249" s="11" t="s">
        <v>54</v>
      </c>
      <c r="C3249" s="11" t="s">
        <v>186</v>
      </c>
      <c r="D3249" s="11">
        <v>1</v>
      </c>
      <c r="E3249" s="11" t="s">
        <v>4</v>
      </c>
      <c r="F3249" s="12">
        <v>24770</v>
      </c>
      <c r="G3249" s="12">
        <v>24770</v>
      </c>
      <c r="H3249" s="11" t="str">
        <f t="shared" si="104"/>
        <v>平成6年9月14日</v>
      </c>
      <c r="I3249" s="22">
        <f t="shared" si="105"/>
        <v>34591</v>
      </c>
      <c r="J3249" s="1" t="str">
        <f>"00743323"</f>
        <v>00743323</v>
      </c>
      <c r="K3249" s="1" t="str">
        <f>"５３９　　　　　　　　　　　　　　　　　"</f>
        <v>５３９　　　　　　　　　　　　　　　　　</v>
      </c>
      <c r="L3249" s="1"/>
    </row>
    <row r="3250" spans="1:12" ht="18" customHeight="1" x14ac:dyDescent="0.15">
      <c r="A3250" s="11">
        <v>3453</v>
      </c>
      <c r="B3250" s="11" t="s">
        <v>54</v>
      </c>
      <c r="C3250" s="11" t="s">
        <v>186</v>
      </c>
      <c r="D3250" s="11">
        <v>1</v>
      </c>
      <c r="E3250" s="11" t="s">
        <v>4</v>
      </c>
      <c r="F3250" s="12">
        <v>24770</v>
      </c>
      <c r="G3250" s="12">
        <v>24770</v>
      </c>
      <c r="H3250" s="11" t="str">
        <f t="shared" si="104"/>
        <v>平成6年9月14日</v>
      </c>
      <c r="I3250" s="22">
        <f t="shared" si="105"/>
        <v>34591</v>
      </c>
      <c r="J3250" s="1" t="str">
        <f>"00743325"</f>
        <v>00743325</v>
      </c>
      <c r="K3250" s="1" t="str">
        <f>"５４０　　　　　　　　　　　　　　　　　"</f>
        <v>５４０　　　　　　　　　　　　　　　　　</v>
      </c>
      <c r="L3250" s="1"/>
    </row>
    <row r="3251" spans="1:12" ht="18" customHeight="1" x14ac:dyDescent="0.15">
      <c r="A3251" s="11">
        <v>3454</v>
      </c>
      <c r="B3251" s="11" t="s">
        <v>54</v>
      </c>
      <c r="C3251" s="11" t="s">
        <v>186</v>
      </c>
      <c r="D3251" s="11">
        <v>1</v>
      </c>
      <c r="E3251" s="11" t="s">
        <v>4</v>
      </c>
      <c r="F3251" s="12">
        <v>24770</v>
      </c>
      <c r="G3251" s="12">
        <v>24770</v>
      </c>
      <c r="H3251" s="11" t="str">
        <f t="shared" si="104"/>
        <v>平成6年9月14日</v>
      </c>
      <c r="I3251" s="22">
        <f t="shared" si="105"/>
        <v>34591</v>
      </c>
      <c r="J3251" s="1" t="str">
        <f>"00743327"</f>
        <v>00743327</v>
      </c>
      <c r="K3251" s="1" t="str">
        <f>"５４１　　　　　　　　　　　　　　　　　"</f>
        <v>５４１　　　　　　　　　　　　　　　　　</v>
      </c>
      <c r="L3251" s="1"/>
    </row>
    <row r="3252" spans="1:12" ht="18" customHeight="1" x14ac:dyDescent="0.15">
      <c r="A3252" s="11">
        <v>3455</v>
      </c>
      <c r="B3252" s="11" t="s">
        <v>54</v>
      </c>
      <c r="C3252" s="11" t="s">
        <v>186</v>
      </c>
      <c r="D3252" s="11">
        <v>1</v>
      </c>
      <c r="E3252" s="11" t="s">
        <v>4</v>
      </c>
      <c r="F3252" s="12">
        <v>24770</v>
      </c>
      <c r="G3252" s="12">
        <v>24770</v>
      </c>
      <c r="H3252" s="11" t="str">
        <f t="shared" si="104"/>
        <v>平成6年9月14日</v>
      </c>
      <c r="I3252" s="22">
        <f t="shared" si="105"/>
        <v>34591</v>
      </c>
      <c r="J3252" s="1" t="str">
        <f>"00743329"</f>
        <v>00743329</v>
      </c>
      <c r="K3252" s="1" t="str">
        <f>"５４２　　　　　　　　　　　　　　　　　"</f>
        <v>５４２　　　　　　　　　　　　　　　　　</v>
      </c>
      <c r="L3252" s="1"/>
    </row>
    <row r="3253" spans="1:12" ht="18" customHeight="1" x14ac:dyDescent="0.15">
      <c r="A3253" s="11">
        <v>3456</v>
      </c>
      <c r="B3253" s="11" t="s">
        <v>54</v>
      </c>
      <c r="C3253" s="11" t="s">
        <v>186</v>
      </c>
      <c r="D3253" s="11">
        <v>1</v>
      </c>
      <c r="E3253" s="11" t="s">
        <v>4</v>
      </c>
      <c r="F3253" s="12">
        <v>24770</v>
      </c>
      <c r="G3253" s="12">
        <v>24770</v>
      </c>
      <c r="H3253" s="11" t="str">
        <f t="shared" si="104"/>
        <v>平成6年9月14日</v>
      </c>
      <c r="I3253" s="22">
        <f t="shared" si="105"/>
        <v>34591</v>
      </c>
      <c r="J3253" s="1" t="str">
        <f>"00743331"</f>
        <v>00743331</v>
      </c>
      <c r="K3253" s="1" t="str">
        <f>"５４３　　　　　　　　　　　　　　　　　"</f>
        <v>５４３　　　　　　　　　　　　　　　　　</v>
      </c>
      <c r="L3253" s="1"/>
    </row>
    <row r="3254" spans="1:12" ht="18" customHeight="1" x14ac:dyDescent="0.15">
      <c r="A3254" s="11">
        <v>3457</v>
      </c>
      <c r="B3254" s="11" t="s">
        <v>54</v>
      </c>
      <c r="C3254" s="11" t="s">
        <v>186</v>
      </c>
      <c r="D3254" s="11">
        <v>1</v>
      </c>
      <c r="E3254" s="11" t="s">
        <v>4</v>
      </c>
      <c r="F3254" s="12">
        <v>24770</v>
      </c>
      <c r="G3254" s="12">
        <v>24770</v>
      </c>
      <c r="H3254" s="11" t="str">
        <f t="shared" si="104"/>
        <v>平成6年9月14日</v>
      </c>
      <c r="I3254" s="22">
        <f t="shared" si="105"/>
        <v>34591</v>
      </c>
      <c r="J3254" s="1" t="str">
        <f>"00743333"</f>
        <v>00743333</v>
      </c>
      <c r="K3254" s="1" t="str">
        <f>"５４４　　　　　　　　　　　　　　　　　"</f>
        <v>５４４　　　　　　　　　　　　　　　　　</v>
      </c>
      <c r="L3254" s="1"/>
    </row>
    <row r="3255" spans="1:12" ht="18" customHeight="1" x14ac:dyDescent="0.15">
      <c r="A3255" s="11">
        <v>3458</v>
      </c>
      <c r="B3255" s="11" t="s">
        <v>54</v>
      </c>
      <c r="C3255" s="11" t="s">
        <v>186</v>
      </c>
      <c r="D3255" s="11">
        <v>1</v>
      </c>
      <c r="E3255" s="11" t="s">
        <v>4</v>
      </c>
      <c r="F3255" s="12">
        <v>24770</v>
      </c>
      <c r="G3255" s="12">
        <v>24770</v>
      </c>
      <c r="H3255" s="11" t="str">
        <f t="shared" si="104"/>
        <v>平成6年9月14日</v>
      </c>
      <c r="I3255" s="22">
        <f t="shared" si="105"/>
        <v>34591</v>
      </c>
      <c r="J3255" s="1" t="str">
        <f>"00743335"</f>
        <v>00743335</v>
      </c>
      <c r="K3255" s="1" t="str">
        <f>"５４５　　　　　　　　　　　　　　　　　"</f>
        <v>５４５　　　　　　　　　　　　　　　　　</v>
      </c>
      <c r="L3255" s="1"/>
    </row>
    <row r="3256" spans="1:12" ht="18" customHeight="1" x14ac:dyDescent="0.15">
      <c r="A3256" s="11">
        <v>3459</v>
      </c>
      <c r="B3256" s="11" t="s">
        <v>54</v>
      </c>
      <c r="C3256" s="11" t="s">
        <v>187</v>
      </c>
      <c r="D3256" s="11">
        <v>1</v>
      </c>
      <c r="E3256" s="11" t="s">
        <v>4</v>
      </c>
      <c r="F3256" s="12">
        <v>85600</v>
      </c>
      <c r="G3256" s="12">
        <v>85600</v>
      </c>
      <c r="H3256" s="11" t="str">
        <f t="shared" si="104"/>
        <v>平成6年9月14日</v>
      </c>
      <c r="I3256" s="22">
        <f t="shared" si="105"/>
        <v>34591</v>
      </c>
      <c r="J3256" s="1" t="str">
        <f>"00743337"</f>
        <v>00743337</v>
      </c>
      <c r="K3256" s="1" t="str">
        <f>"５４６　　　　　　　　　　　　　　　　　"</f>
        <v>５４６　　　　　　　　　　　　　　　　　</v>
      </c>
      <c r="L3256" s="1"/>
    </row>
    <row r="3257" spans="1:12" ht="18" customHeight="1" x14ac:dyDescent="0.15">
      <c r="A3257" s="11">
        <v>3460</v>
      </c>
      <c r="B3257" s="11" t="s">
        <v>54</v>
      </c>
      <c r="C3257" s="11" t="s">
        <v>187</v>
      </c>
      <c r="D3257" s="11">
        <v>1</v>
      </c>
      <c r="E3257" s="11" t="s">
        <v>4</v>
      </c>
      <c r="F3257" s="12">
        <v>85600</v>
      </c>
      <c r="G3257" s="12">
        <v>85600</v>
      </c>
      <c r="H3257" s="11" t="str">
        <f t="shared" si="104"/>
        <v>平成6年9月14日</v>
      </c>
      <c r="I3257" s="22">
        <f t="shared" si="105"/>
        <v>34591</v>
      </c>
      <c r="J3257" s="1" t="str">
        <f>"00743339"</f>
        <v>00743339</v>
      </c>
      <c r="K3257" s="1" t="str">
        <f>"５４７　　　　　　　　　　　　　　　　　"</f>
        <v>５４７　　　　　　　　　　　　　　　　　</v>
      </c>
      <c r="L3257" s="1"/>
    </row>
    <row r="3258" spans="1:12" ht="18" customHeight="1" x14ac:dyDescent="0.15">
      <c r="A3258" s="11">
        <v>3461</v>
      </c>
      <c r="B3258" s="11" t="s">
        <v>54</v>
      </c>
      <c r="C3258" s="11" t="s">
        <v>187</v>
      </c>
      <c r="D3258" s="11">
        <v>1</v>
      </c>
      <c r="E3258" s="11" t="s">
        <v>4</v>
      </c>
      <c r="F3258" s="12">
        <v>85600</v>
      </c>
      <c r="G3258" s="12">
        <v>85600</v>
      </c>
      <c r="H3258" s="11" t="str">
        <f t="shared" si="104"/>
        <v>平成6年9月14日</v>
      </c>
      <c r="I3258" s="22">
        <f t="shared" si="105"/>
        <v>34591</v>
      </c>
      <c r="J3258" s="1" t="str">
        <f>"00743341"</f>
        <v>00743341</v>
      </c>
      <c r="K3258" s="1" t="str">
        <f>"５４８　　　　　　　　　　　　　　　　　"</f>
        <v>５４８　　　　　　　　　　　　　　　　　</v>
      </c>
      <c r="L3258" s="1"/>
    </row>
    <row r="3259" spans="1:12" ht="18" customHeight="1" x14ac:dyDescent="0.15">
      <c r="A3259" s="11">
        <v>3462</v>
      </c>
      <c r="B3259" s="11" t="s">
        <v>54</v>
      </c>
      <c r="C3259" s="11" t="s">
        <v>187</v>
      </c>
      <c r="D3259" s="11">
        <v>1</v>
      </c>
      <c r="E3259" s="11" t="s">
        <v>4</v>
      </c>
      <c r="F3259" s="12">
        <v>85600</v>
      </c>
      <c r="G3259" s="12">
        <v>85600</v>
      </c>
      <c r="H3259" s="11" t="str">
        <f t="shared" si="104"/>
        <v>平成6年9月14日</v>
      </c>
      <c r="I3259" s="22">
        <f t="shared" si="105"/>
        <v>34591</v>
      </c>
      <c r="J3259" s="1" t="str">
        <f>"00743343"</f>
        <v>00743343</v>
      </c>
      <c r="K3259" s="1" t="str">
        <f>"５４９　　　　　　　　　　　　　　　　　"</f>
        <v>５４９　　　　　　　　　　　　　　　　　</v>
      </c>
      <c r="L3259" s="1"/>
    </row>
    <row r="3260" spans="1:12" ht="18" customHeight="1" x14ac:dyDescent="0.15">
      <c r="A3260" s="11">
        <v>3463</v>
      </c>
      <c r="B3260" s="11" t="s">
        <v>54</v>
      </c>
      <c r="C3260" s="11" t="s">
        <v>187</v>
      </c>
      <c r="D3260" s="11">
        <v>1</v>
      </c>
      <c r="E3260" s="11" t="s">
        <v>4</v>
      </c>
      <c r="F3260" s="12">
        <v>85600</v>
      </c>
      <c r="G3260" s="12">
        <v>85600</v>
      </c>
      <c r="H3260" s="11" t="str">
        <f t="shared" si="104"/>
        <v>平成6年9月14日</v>
      </c>
      <c r="I3260" s="22">
        <f t="shared" si="105"/>
        <v>34591</v>
      </c>
      <c r="J3260" s="1" t="str">
        <f>"00743345"</f>
        <v>00743345</v>
      </c>
      <c r="K3260" s="1" t="str">
        <f>"５５０　　　　　　　　　　　　　　　　　"</f>
        <v>５５０　　　　　　　　　　　　　　　　　</v>
      </c>
      <c r="L3260" s="1"/>
    </row>
    <row r="3261" spans="1:12" ht="18" customHeight="1" x14ac:dyDescent="0.15">
      <c r="A3261" s="11">
        <v>3464</v>
      </c>
      <c r="B3261" s="11" t="s">
        <v>54</v>
      </c>
      <c r="C3261" s="11" t="s">
        <v>187</v>
      </c>
      <c r="D3261" s="11">
        <v>1</v>
      </c>
      <c r="E3261" s="11" t="s">
        <v>4</v>
      </c>
      <c r="F3261" s="12">
        <v>85600</v>
      </c>
      <c r="G3261" s="12">
        <v>85600</v>
      </c>
      <c r="H3261" s="11" t="str">
        <f t="shared" si="104"/>
        <v>平成6年9月14日</v>
      </c>
      <c r="I3261" s="22">
        <f t="shared" si="105"/>
        <v>34591</v>
      </c>
      <c r="J3261" s="1" t="str">
        <f>"00743347"</f>
        <v>00743347</v>
      </c>
      <c r="K3261" s="1" t="str">
        <f>"５５１　　　　　　　　　　　　　　　　　"</f>
        <v>５５１　　　　　　　　　　　　　　　　　</v>
      </c>
      <c r="L3261" s="1"/>
    </row>
    <row r="3262" spans="1:12" ht="18" customHeight="1" x14ac:dyDescent="0.15">
      <c r="A3262" s="11">
        <v>3465</v>
      </c>
      <c r="B3262" s="11" t="s">
        <v>54</v>
      </c>
      <c r="C3262" s="11" t="s">
        <v>187</v>
      </c>
      <c r="D3262" s="11">
        <v>1</v>
      </c>
      <c r="E3262" s="11" t="s">
        <v>4</v>
      </c>
      <c r="F3262" s="12">
        <v>85600</v>
      </c>
      <c r="G3262" s="12">
        <v>85600</v>
      </c>
      <c r="H3262" s="11" t="str">
        <f t="shared" si="104"/>
        <v>平成6年9月14日</v>
      </c>
      <c r="I3262" s="22">
        <f t="shared" si="105"/>
        <v>34591</v>
      </c>
      <c r="J3262" s="1" t="str">
        <f>"00743349"</f>
        <v>00743349</v>
      </c>
      <c r="K3262" s="1" t="str">
        <f>"５５２　　　　　　　　　　　　　　　　　"</f>
        <v>５５２　　　　　　　　　　　　　　　　　</v>
      </c>
      <c r="L3262" s="1"/>
    </row>
    <row r="3263" spans="1:12" ht="18" customHeight="1" x14ac:dyDescent="0.15">
      <c r="A3263" s="11">
        <v>3466</v>
      </c>
      <c r="B3263" s="11" t="s">
        <v>54</v>
      </c>
      <c r="C3263" s="11" t="s">
        <v>187</v>
      </c>
      <c r="D3263" s="11">
        <v>1</v>
      </c>
      <c r="E3263" s="11" t="s">
        <v>4</v>
      </c>
      <c r="F3263" s="12">
        <v>85600</v>
      </c>
      <c r="G3263" s="12">
        <v>85600</v>
      </c>
      <c r="H3263" s="11" t="str">
        <f t="shared" si="104"/>
        <v>平成6年9月14日</v>
      </c>
      <c r="I3263" s="22">
        <f t="shared" si="105"/>
        <v>34591</v>
      </c>
      <c r="J3263" s="1" t="str">
        <f>"00743351"</f>
        <v>00743351</v>
      </c>
      <c r="K3263" s="1" t="str">
        <f>"５５３　　　　　　　　　　　　　　　　　"</f>
        <v>５５３　　　　　　　　　　　　　　　　　</v>
      </c>
      <c r="L3263" s="1"/>
    </row>
    <row r="3264" spans="1:12" ht="18" customHeight="1" x14ac:dyDescent="0.15">
      <c r="A3264" s="11">
        <v>3467</v>
      </c>
      <c r="B3264" s="11" t="s">
        <v>54</v>
      </c>
      <c r="C3264" s="11" t="s">
        <v>187</v>
      </c>
      <c r="D3264" s="11">
        <v>1</v>
      </c>
      <c r="E3264" s="11" t="s">
        <v>4</v>
      </c>
      <c r="F3264" s="12">
        <v>85600</v>
      </c>
      <c r="G3264" s="12">
        <v>85600</v>
      </c>
      <c r="H3264" s="11" t="str">
        <f t="shared" si="104"/>
        <v>平成6年9月14日</v>
      </c>
      <c r="I3264" s="22">
        <f t="shared" si="105"/>
        <v>34591</v>
      </c>
      <c r="J3264" s="1" t="str">
        <f>"00743353"</f>
        <v>00743353</v>
      </c>
      <c r="K3264" s="1" t="str">
        <f>"５５４　　　　　　　　　　　　　　　　　"</f>
        <v>５５４　　　　　　　　　　　　　　　　　</v>
      </c>
      <c r="L3264" s="1"/>
    </row>
    <row r="3265" spans="1:12" ht="18" customHeight="1" x14ac:dyDescent="0.15">
      <c r="A3265" s="11">
        <v>3468</v>
      </c>
      <c r="B3265" s="11" t="s">
        <v>54</v>
      </c>
      <c r="C3265" s="11" t="s">
        <v>187</v>
      </c>
      <c r="D3265" s="11">
        <v>1</v>
      </c>
      <c r="E3265" s="11" t="s">
        <v>4</v>
      </c>
      <c r="F3265" s="12">
        <v>85600</v>
      </c>
      <c r="G3265" s="12">
        <v>85600</v>
      </c>
      <c r="H3265" s="11" t="str">
        <f t="shared" si="104"/>
        <v>平成6年9月14日</v>
      </c>
      <c r="I3265" s="22">
        <f t="shared" si="105"/>
        <v>34591</v>
      </c>
      <c r="J3265" s="1" t="str">
        <f>"00743355"</f>
        <v>00743355</v>
      </c>
      <c r="K3265" s="1" t="str">
        <f>"５５５　　　　　　　　　　　　　　　　　"</f>
        <v>５５５　　　　　　　　　　　　　　　　　</v>
      </c>
      <c r="L3265" s="1"/>
    </row>
    <row r="3266" spans="1:12" ht="18" customHeight="1" x14ac:dyDescent="0.15">
      <c r="A3266" s="11">
        <v>3469</v>
      </c>
      <c r="B3266" s="11" t="s">
        <v>54</v>
      </c>
      <c r="C3266" s="11" t="s">
        <v>187</v>
      </c>
      <c r="D3266" s="11">
        <v>1</v>
      </c>
      <c r="E3266" s="11" t="s">
        <v>4</v>
      </c>
      <c r="F3266" s="12">
        <v>85600</v>
      </c>
      <c r="G3266" s="12">
        <v>85600</v>
      </c>
      <c r="H3266" s="11" t="str">
        <f t="shared" si="104"/>
        <v>平成6年9月14日</v>
      </c>
      <c r="I3266" s="22">
        <f t="shared" si="105"/>
        <v>34591</v>
      </c>
      <c r="J3266" s="1" t="str">
        <f>"00743357"</f>
        <v>00743357</v>
      </c>
      <c r="K3266" s="1" t="str">
        <f>"５５６　　　　　　　　　　　　　　　　　"</f>
        <v>５５６　　　　　　　　　　　　　　　　　</v>
      </c>
      <c r="L3266" s="1"/>
    </row>
    <row r="3267" spans="1:12" ht="18" customHeight="1" x14ac:dyDescent="0.15">
      <c r="A3267" s="11">
        <v>3470</v>
      </c>
      <c r="B3267" s="11" t="s">
        <v>54</v>
      </c>
      <c r="C3267" s="11" t="s">
        <v>187</v>
      </c>
      <c r="D3267" s="11">
        <v>1</v>
      </c>
      <c r="E3267" s="11" t="s">
        <v>4</v>
      </c>
      <c r="F3267" s="12">
        <v>85600</v>
      </c>
      <c r="G3267" s="12">
        <v>85600</v>
      </c>
      <c r="H3267" s="11" t="str">
        <f t="shared" si="104"/>
        <v>平成6年9月14日</v>
      </c>
      <c r="I3267" s="22">
        <f t="shared" si="105"/>
        <v>34591</v>
      </c>
      <c r="J3267" s="1" t="str">
        <f>"00743359"</f>
        <v>00743359</v>
      </c>
      <c r="K3267" s="1" t="str">
        <f>"５５７　　　　　　　　　　　　　　　　　"</f>
        <v>５５７　　　　　　　　　　　　　　　　　</v>
      </c>
      <c r="L3267" s="1"/>
    </row>
    <row r="3268" spans="1:12" ht="18" customHeight="1" x14ac:dyDescent="0.15">
      <c r="A3268" s="11">
        <v>3471</v>
      </c>
      <c r="B3268" s="11" t="s">
        <v>54</v>
      </c>
      <c r="C3268" s="11" t="s">
        <v>187</v>
      </c>
      <c r="D3268" s="11">
        <v>1</v>
      </c>
      <c r="E3268" s="11" t="s">
        <v>4</v>
      </c>
      <c r="F3268" s="12">
        <v>85600</v>
      </c>
      <c r="G3268" s="12">
        <v>85600</v>
      </c>
      <c r="H3268" s="11" t="str">
        <f t="shared" si="104"/>
        <v>平成6年9月14日</v>
      </c>
      <c r="I3268" s="22">
        <f t="shared" si="105"/>
        <v>34591</v>
      </c>
      <c r="J3268" s="1" t="str">
        <f>"00743361"</f>
        <v>00743361</v>
      </c>
      <c r="K3268" s="1" t="str">
        <f>"５５８　　　　　　　　　　　　　　　　　"</f>
        <v>５５８　　　　　　　　　　　　　　　　　</v>
      </c>
      <c r="L3268" s="1"/>
    </row>
    <row r="3269" spans="1:12" ht="18" customHeight="1" x14ac:dyDescent="0.15">
      <c r="A3269" s="11">
        <v>3472</v>
      </c>
      <c r="B3269" s="11" t="s">
        <v>54</v>
      </c>
      <c r="C3269" s="11" t="s">
        <v>187</v>
      </c>
      <c r="D3269" s="11">
        <v>1</v>
      </c>
      <c r="E3269" s="11" t="s">
        <v>4</v>
      </c>
      <c r="F3269" s="12">
        <v>85600</v>
      </c>
      <c r="G3269" s="12">
        <v>85600</v>
      </c>
      <c r="H3269" s="11" t="str">
        <f t="shared" si="104"/>
        <v>平成6年9月14日</v>
      </c>
      <c r="I3269" s="22">
        <f t="shared" si="105"/>
        <v>34591</v>
      </c>
      <c r="J3269" s="1" t="str">
        <f>"00743363"</f>
        <v>00743363</v>
      </c>
      <c r="K3269" s="1" t="str">
        <f>"５５９　　　　　　　　　　　　　　　　　"</f>
        <v>５５９　　　　　　　　　　　　　　　　　</v>
      </c>
      <c r="L3269" s="1"/>
    </row>
    <row r="3270" spans="1:12" ht="18" customHeight="1" x14ac:dyDescent="0.15">
      <c r="A3270" s="11">
        <v>3473</v>
      </c>
      <c r="B3270" s="11" t="s">
        <v>54</v>
      </c>
      <c r="C3270" s="11" t="s">
        <v>187</v>
      </c>
      <c r="D3270" s="11">
        <v>1</v>
      </c>
      <c r="E3270" s="11" t="s">
        <v>4</v>
      </c>
      <c r="F3270" s="12">
        <v>85600</v>
      </c>
      <c r="G3270" s="12">
        <v>85600</v>
      </c>
      <c r="H3270" s="11" t="str">
        <f t="shared" si="104"/>
        <v>平成6年9月14日</v>
      </c>
      <c r="I3270" s="22">
        <f t="shared" si="105"/>
        <v>34591</v>
      </c>
      <c r="J3270" s="1" t="str">
        <f>"00743365"</f>
        <v>00743365</v>
      </c>
      <c r="K3270" s="1" t="str">
        <f>"５６０　　　　　　　　　　　　　　　　　"</f>
        <v>５６０　　　　　　　　　　　　　　　　　</v>
      </c>
      <c r="L3270" s="1"/>
    </row>
    <row r="3271" spans="1:12" ht="18" customHeight="1" x14ac:dyDescent="0.15">
      <c r="A3271" s="11">
        <v>3474</v>
      </c>
      <c r="B3271" s="11" t="s">
        <v>54</v>
      </c>
      <c r="C3271" s="11" t="s">
        <v>187</v>
      </c>
      <c r="D3271" s="11">
        <v>1</v>
      </c>
      <c r="E3271" s="11" t="s">
        <v>4</v>
      </c>
      <c r="F3271" s="12">
        <v>85600</v>
      </c>
      <c r="G3271" s="12">
        <v>85600</v>
      </c>
      <c r="H3271" s="11" t="str">
        <f t="shared" si="104"/>
        <v>平成6年9月14日</v>
      </c>
      <c r="I3271" s="22">
        <f t="shared" si="105"/>
        <v>34591</v>
      </c>
      <c r="J3271" s="1" t="str">
        <f>"00743367"</f>
        <v>00743367</v>
      </c>
      <c r="K3271" s="1" t="str">
        <f>"５６１　　　　　　　　　　　　　　　　　"</f>
        <v>５６１　　　　　　　　　　　　　　　　　</v>
      </c>
      <c r="L3271" s="1"/>
    </row>
    <row r="3272" spans="1:12" ht="18" customHeight="1" x14ac:dyDescent="0.15">
      <c r="A3272" s="11">
        <v>3475</v>
      </c>
      <c r="B3272" s="11" t="s">
        <v>54</v>
      </c>
      <c r="C3272" s="11" t="s">
        <v>187</v>
      </c>
      <c r="D3272" s="11">
        <v>1</v>
      </c>
      <c r="E3272" s="11" t="s">
        <v>4</v>
      </c>
      <c r="F3272" s="12">
        <v>85600</v>
      </c>
      <c r="G3272" s="12">
        <v>85600</v>
      </c>
      <c r="H3272" s="11" t="str">
        <f t="shared" si="104"/>
        <v>平成6年9月14日</v>
      </c>
      <c r="I3272" s="22">
        <f t="shared" si="105"/>
        <v>34591</v>
      </c>
      <c r="J3272" s="1" t="str">
        <f>"00743369"</f>
        <v>00743369</v>
      </c>
      <c r="K3272" s="1" t="str">
        <f>"５６２　　　　　　　　　　　　　　　　　"</f>
        <v>５６２　　　　　　　　　　　　　　　　　</v>
      </c>
      <c r="L3272" s="1"/>
    </row>
    <row r="3273" spans="1:12" ht="18" customHeight="1" x14ac:dyDescent="0.15">
      <c r="A3273" s="11">
        <v>3476</v>
      </c>
      <c r="B3273" s="11" t="s">
        <v>54</v>
      </c>
      <c r="C3273" s="11" t="s">
        <v>187</v>
      </c>
      <c r="D3273" s="11">
        <v>1</v>
      </c>
      <c r="E3273" s="11" t="s">
        <v>4</v>
      </c>
      <c r="F3273" s="12">
        <v>85600</v>
      </c>
      <c r="G3273" s="12">
        <v>85600</v>
      </c>
      <c r="H3273" s="11" t="str">
        <f t="shared" si="104"/>
        <v>平成6年9月14日</v>
      </c>
      <c r="I3273" s="22">
        <f t="shared" si="105"/>
        <v>34591</v>
      </c>
      <c r="J3273" s="1" t="str">
        <f>"00743371"</f>
        <v>00743371</v>
      </c>
      <c r="K3273" s="1" t="str">
        <f>"５６３　　　　　　　　　　　　　　　　　"</f>
        <v>５６３　　　　　　　　　　　　　　　　　</v>
      </c>
      <c r="L3273" s="1"/>
    </row>
    <row r="3274" spans="1:12" ht="18" customHeight="1" x14ac:dyDescent="0.15">
      <c r="A3274" s="11">
        <v>3477</v>
      </c>
      <c r="B3274" s="11" t="s">
        <v>54</v>
      </c>
      <c r="C3274" s="11" t="s">
        <v>187</v>
      </c>
      <c r="D3274" s="11">
        <v>1</v>
      </c>
      <c r="E3274" s="11" t="s">
        <v>4</v>
      </c>
      <c r="F3274" s="12">
        <v>85600</v>
      </c>
      <c r="G3274" s="12">
        <v>85600</v>
      </c>
      <c r="H3274" s="11" t="str">
        <f t="shared" si="104"/>
        <v>平成6年9月14日</v>
      </c>
      <c r="I3274" s="22">
        <f t="shared" si="105"/>
        <v>34591</v>
      </c>
      <c r="J3274" s="1" t="str">
        <f>"00743373"</f>
        <v>00743373</v>
      </c>
      <c r="K3274" s="1" t="str">
        <f>"５６４　　　　　　　　　　　　　　　　　"</f>
        <v>５６４　　　　　　　　　　　　　　　　　</v>
      </c>
      <c r="L3274" s="1"/>
    </row>
    <row r="3275" spans="1:12" ht="18" customHeight="1" x14ac:dyDescent="0.15">
      <c r="A3275" s="11">
        <v>3478</v>
      </c>
      <c r="B3275" s="11" t="s">
        <v>54</v>
      </c>
      <c r="C3275" s="11" t="s">
        <v>187</v>
      </c>
      <c r="D3275" s="11">
        <v>1</v>
      </c>
      <c r="E3275" s="11" t="s">
        <v>4</v>
      </c>
      <c r="F3275" s="12">
        <v>85600</v>
      </c>
      <c r="G3275" s="12">
        <v>85600</v>
      </c>
      <c r="H3275" s="11" t="str">
        <f t="shared" si="104"/>
        <v>平成6年9月14日</v>
      </c>
      <c r="I3275" s="22">
        <f t="shared" si="105"/>
        <v>34591</v>
      </c>
      <c r="J3275" s="1" t="str">
        <f>"00743375"</f>
        <v>00743375</v>
      </c>
      <c r="K3275" s="1" t="str">
        <f>"５６５　　　　　　　　　　　　　　　　　"</f>
        <v>５６５　　　　　　　　　　　　　　　　　</v>
      </c>
      <c r="L3275" s="1"/>
    </row>
    <row r="3276" spans="1:12" ht="18" customHeight="1" x14ac:dyDescent="0.15">
      <c r="A3276" s="11">
        <v>3479</v>
      </c>
      <c r="B3276" s="11" t="s">
        <v>54</v>
      </c>
      <c r="C3276" s="11" t="s">
        <v>187</v>
      </c>
      <c r="D3276" s="11">
        <v>1</v>
      </c>
      <c r="E3276" s="11" t="s">
        <v>4</v>
      </c>
      <c r="F3276" s="12">
        <v>85600</v>
      </c>
      <c r="G3276" s="12">
        <v>85600</v>
      </c>
      <c r="H3276" s="11" t="str">
        <f t="shared" si="104"/>
        <v>平成6年9月14日</v>
      </c>
      <c r="I3276" s="22">
        <f t="shared" si="105"/>
        <v>34591</v>
      </c>
      <c r="J3276" s="1" t="str">
        <f>"00743377"</f>
        <v>00743377</v>
      </c>
      <c r="K3276" s="1" t="str">
        <f>"５６６　　　　　　　　　　　　　　　　　"</f>
        <v>５６６　　　　　　　　　　　　　　　　　</v>
      </c>
      <c r="L3276" s="1"/>
    </row>
    <row r="3277" spans="1:12" ht="18" customHeight="1" x14ac:dyDescent="0.15">
      <c r="A3277" s="11">
        <v>3480</v>
      </c>
      <c r="B3277" s="11" t="s">
        <v>54</v>
      </c>
      <c r="C3277" s="11" t="s">
        <v>187</v>
      </c>
      <c r="D3277" s="11">
        <v>1</v>
      </c>
      <c r="E3277" s="11" t="s">
        <v>4</v>
      </c>
      <c r="F3277" s="12">
        <v>85600</v>
      </c>
      <c r="G3277" s="12">
        <v>85600</v>
      </c>
      <c r="H3277" s="11" t="str">
        <f t="shared" si="104"/>
        <v>平成6年9月14日</v>
      </c>
      <c r="I3277" s="22">
        <f t="shared" si="105"/>
        <v>34591</v>
      </c>
      <c r="J3277" s="1" t="str">
        <f>"00743379"</f>
        <v>00743379</v>
      </c>
      <c r="K3277" s="1" t="str">
        <f>"５６７　　　　　　　　　　　　　　　　　"</f>
        <v>５６７　　　　　　　　　　　　　　　　　</v>
      </c>
      <c r="L3277" s="1"/>
    </row>
    <row r="3278" spans="1:12" ht="18" customHeight="1" x14ac:dyDescent="0.15">
      <c r="A3278" s="11">
        <v>3481</v>
      </c>
      <c r="B3278" s="11" t="s">
        <v>54</v>
      </c>
      <c r="C3278" s="11" t="s">
        <v>187</v>
      </c>
      <c r="D3278" s="11">
        <v>1</v>
      </c>
      <c r="E3278" s="11" t="s">
        <v>4</v>
      </c>
      <c r="F3278" s="12">
        <v>85600</v>
      </c>
      <c r="G3278" s="12">
        <v>85600</v>
      </c>
      <c r="H3278" s="11" t="str">
        <f t="shared" si="104"/>
        <v>平成6年9月14日</v>
      </c>
      <c r="I3278" s="22">
        <f t="shared" si="105"/>
        <v>34591</v>
      </c>
      <c r="J3278" s="1" t="str">
        <f>"00743381"</f>
        <v>00743381</v>
      </c>
      <c r="K3278" s="1" t="str">
        <f>"５６８　　　　　　　　　　　　　　　　　"</f>
        <v>５６８　　　　　　　　　　　　　　　　　</v>
      </c>
      <c r="L3278" s="1"/>
    </row>
    <row r="3279" spans="1:12" ht="18" customHeight="1" x14ac:dyDescent="0.15">
      <c r="A3279" s="11">
        <v>3482</v>
      </c>
      <c r="B3279" s="11" t="s">
        <v>54</v>
      </c>
      <c r="C3279" s="11" t="s">
        <v>187</v>
      </c>
      <c r="D3279" s="11">
        <v>1</v>
      </c>
      <c r="E3279" s="11" t="s">
        <v>4</v>
      </c>
      <c r="F3279" s="12">
        <v>85600</v>
      </c>
      <c r="G3279" s="12">
        <v>85600</v>
      </c>
      <c r="H3279" s="11" t="str">
        <f t="shared" ref="H3279:H3342" si="106">"平成6年9月14日"</f>
        <v>平成6年9月14日</v>
      </c>
      <c r="I3279" s="22">
        <f t="shared" si="105"/>
        <v>34591</v>
      </c>
      <c r="J3279" s="1" t="str">
        <f>"00743383"</f>
        <v>00743383</v>
      </c>
      <c r="K3279" s="1" t="str">
        <f>"５６９　　　　　　　　　　　　　　　　　"</f>
        <v>５６９　　　　　　　　　　　　　　　　　</v>
      </c>
      <c r="L3279" s="1"/>
    </row>
    <row r="3280" spans="1:12" ht="18" customHeight="1" x14ac:dyDescent="0.15">
      <c r="A3280" s="11">
        <v>3483</v>
      </c>
      <c r="B3280" s="11" t="s">
        <v>54</v>
      </c>
      <c r="C3280" s="11" t="s">
        <v>187</v>
      </c>
      <c r="D3280" s="11">
        <v>1</v>
      </c>
      <c r="E3280" s="11" t="s">
        <v>4</v>
      </c>
      <c r="F3280" s="12">
        <v>85600</v>
      </c>
      <c r="G3280" s="12">
        <v>85600</v>
      </c>
      <c r="H3280" s="11" t="str">
        <f t="shared" si="106"/>
        <v>平成6年9月14日</v>
      </c>
      <c r="I3280" s="22">
        <f t="shared" si="105"/>
        <v>34591</v>
      </c>
      <c r="J3280" s="1" t="str">
        <f>"00743385"</f>
        <v>00743385</v>
      </c>
      <c r="K3280" s="1" t="str">
        <f>"５７０　　　　　　　　　　　　　　　　　"</f>
        <v>５７０　　　　　　　　　　　　　　　　　</v>
      </c>
      <c r="L3280" s="1"/>
    </row>
    <row r="3281" spans="1:12" ht="18" customHeight="1" x14ac:dyDescent="0.15">
      <c r="A3281" s="11">
        <v>3484</v>
      </c>
      <c r="B3281" s="11" t="s">
        <v>54</v>
      </c>
      <c r="C3281" s="11" t="s">
        <v>187</v>
      </c>
      <c r="D3281" s="11">
        <v>1</v>
      </c>
      <c r="E3281" s="11" t="s">
        <v>4</v>
      </c>
      <c r="F3281" s="12">
        <v>85600</v>
      </c>
      <c r="G3281" s="12">
        <v>85600</v>
      </c>
      <c r="H3281" s="11" t="str">
        <f t="shared" si="106"/>
        <v>平成6年9月14日</v>
      </c>
      <c r="I3281" s="22">
        <f t="shared" si="105"/>
        <v>34591</v>
      </c>
      <c r="J3281" s="1" t="str">
        <f>"00743387"</f>
        <v>00743387</v>
      </c>
      <c r="K3281" s="1" t="str">
        <f>"５７１　　　　　　　　　　　　　　　　　"</f>
        <v>５７１　　　　　　　　　　　　　　　　　</v>
      </c>
      <c r="L3281" s="1"/>
    </row>
    <row r="3282" spans="1:12" ht="18" customHeight="1" x14ac:dyDescent="0.15">
      <c r="A3282" s="11">
        <v>3485</v>
      </c>
      <c r="B3282" s="11" t="s">
        <v>54</v>
      </c>
      <c r="C3282" s="11" t="s">
        <v>187</v>
      </c>
      <c r="D3282" s="11">
        <v>1</v>
      </c>
      <c r="E3282" s="11" t="s">
        <v>4</v>
      </c>
      <c r="F3282" s="12">
        <v>85600</v>
      </c>
      <c r="G3282" s="12">
        <v>85600</v>
      </c>
      <c r="H3282" s="11" t="str">
        <f t="shared" si="106"/>
        <v>平成6年9月14日</v>
      </c>
      <c r="I3282" s="22">
        <f t="shared" ref="I3282:I3345" si="107">DATEVALUE(H3282)</f>
        <v>34591</v>
      </c>
      <c r="J3282" s="1" t="str">
        <f>"00743389"</f>
        <v>00743389</v>
      </c>
      <c r="K3282" s="1" t="str">
        <f>"５７２　　　　　　　　　　　　　　　　　"</f>
        <v>５７２　　　　　　　　　　　　　　　　　</v>
      </c>
      <c r="L3282" s="1"/>
    </row>
    <row r="3283" spans="1:12" ht="18" customHeight="1" x14ac:dyDescent="0.15">
      <c r="A3283" s="11">
        <v>3486</v>
      </c>
      <c r="B3283" s="11" t="s">
        <v>54</v>
      </c>
      <c r="C3283" s="11" t="s">
        <v>187</v>
      </c>
      <c r="D3283" s="11">
        <v>1</v>
      </c>
      <c r="E3283" s="11" t="s">
        <v>4</v>
      </c>
      <c r="F3283" s="12">
        <v>85600</v>
      </c>
      <c r="G3283" s="12">
        <v>85600</v>
      </c>
      <c r="H3283" s="11" t="str">
        <f t="shared" si="106"/>
        <v>平成6年9月14日</v>
      </c>
      <c r="I3283" s="22">
        <f t="shared" si="107"/>
        <v>34591</v>
      </c>
      <c r="J3283" s="1" t="str">
        <f>"00743391"</f>
        <v>00743391</v>
      </c>
      <c r="K3283" s="1" t="str">
        <f>"５７３　　　　　　　　　　　　　　　　　"</f>
        <v>５７３　　　　　　　　　　　　　　　　　</v>
      </c>
      <c r="L3283" s="1"/>
    </row>
    <row r="3284" spans="1:12" ht="18" customHeight="1" x14ac:dyDescent="0.15">
      <c r="A3284" s="11">
        <v>3487</v>
      </c>
      <c r="B3284" s="11" t="s">
        <v>54</v>
      </c>
      <c r="C3284" s="11" t="s">
        <v>187</v>
      </c>
      <c r="D3284" s="11">
        <v>1</v>
      </c>
      <c r="E3284" s="11" t="s">
        <v>4</v>
      </c>
      <c r="F3284" s="12">
        <v>85600</v>
      </c>
      <c r="G3284" s="12">
        <v>85600</v>
      </c>
      <c r="H3284" s="11" t="str">
        <f t="shared" si="106"/>
        <v>平成6年9月14日</v>
      </c>
      <c r="I3284" s="22">
        <f t="shared" si="107"/>
        <v>34591</v>
      </c>
      <c r="J3284" s="1" t="str">
        <f>"00743393"</f>
        <v>00743393</v>
      </c>
      <c r="K3284" s="1" t="str">
        <f>"５７４　　　　　　　　　　　　　　　　　"</f>
        <v>５７４　　　　　　　　　　　　　　　　　</v>
      </c>
      <c r="L3284" s="1"/>
    </row>
    <row r="3285" spans="1:12" ht="18" customHeight="1" x14ac:dyDescent="0.15">
      <c r="A3285" s="11">
        <v>3488</v>
      </c>
      <c r="B3285" s="11" t="s">
        <v>54</v>
      </c>
      <c r="C3285" s="11" t="s">
        <v>187</v>
      </c>
      <c r="D3285" s="11">
        <v>1</v>
      </c>
      <c r="E3285" s="11" t="s">
        <v>4</v>
      </c>
      <c r="F3285" s="12">
        <v>85600</v>
      </c>
      <c r="G3285" s="12">
        <v>85600</v>
      </c>
      <c r="H3285" s="11" t="str">
        <f t="shared" si="106"/>
        <v>平成6年9月14日</v>
      </c>
      <c r="I3285" s="22">
        <f t="shared" si="107"/>
        <v>34591</v>
      </c>
      <c r="J3285" s="1" t="str">
        <f>"00743395"</f>
        <v>00743395</v>
      </c>
      <c r="K3285" s="1" t="str">
        <f>"５７５　　　　　　　　　　　　　　　　　"</f>
        <v>５７５　　　　　　　　　　　　　　　　　</v>
      </c>
      <c r="L3285" s="1"/>
    </row>
    <row r="3286" spans="1:12" ht="18" customHeight="1" x14ac:dyDescent="0.15">
      <c r="A3286" s="11">
        <v>3489</v>
      </c>
      <c r="B3286" s="11" t="s">
        <v>54</v>
      </c>
      <c r="C3286" s="11" t="s">
        <v>187</v>
      </c>
      <c r="D3286" s="11">
        <v>1</v>
      </c>
      <c r="E3286" s="11" t="s">
        <v>4</v>
      </c>
      <c r="F3286" s="12">
        <v>85600</v>
      </c>
      <c r="G3286" s="12">
        <v>85600</v>
      </c>
      <c r="H3286" s="11" t="str">
        <f t="shared" si="106"/>
        <v>平成6年9月14日</v>
      </c>
      <c r="I3286" s="22">
        <f t="shared" si="107"/>
        <v>34591</v>
      </c>
      <c r="J3286" s="1" t="str">
        <f>"00743397"</f>
        <v>00743397</v>
      </c>
      <c r="K3286" s="1" t="str">
        <f>"５７６　　　　　　　　　　　　　　　　　"</f>
        <v>５７６　　　　　　　　　　　　　　　　　</v>
      </c>
      <c r="L3286" s="1"/>
    </row>
    <row r="3287" spans="1:12" ht="18" customHeight="1" x14ac:dyDescent="0.15">
      <c r="A3287" s="11">
        <v>3490</v>
      </c>
      <c r="B3287" s="11" t="s">
        <v>54</v>
      </c>
      <c r="C3287" s="11" t="s">
        <v>187</v>
      </c>
      <c r="D3287" s="11">
        <v>1</v>
      </c>
      <c r="E3287" s="11" t="s">
        <v>4</v>
      </c>
      <c r="F3287" s="12">
        <v>85600</v>
      </c>
      <c r="G3287" s="12">
        <v>85600</v>
      </c>
      <c r="H3287" s="11" t="str">
        <f t="shared" si="106"/>
        <v>平成6年9月14日</v>
      </c>
      <c r="I3287" s="22">
        <f t="shared" si="107"/>
        <v>34591</v>
      </c>
      <c r="J3287" s="1" t="str">
        <f>"00743399"</f>
        <v>00743399</v>
      </c>
      <c r="K3287" s="1" t="str">
        <f>"５７７　　　　　　　　　　　　　　　　　"</f>
        <v>５７７　　　　　　　　　　　　　　　　　</v>
      </c>
      <c r="L3287" s="1"/>
    </row>
    <row r="3288" spans="1:12" ht="18" customHeight="1" x14ac:dyDescent="0.15">
      <c r="A3288" s="11">
        <v>3491</v>
      </c>
      <c r="B3288" s="11" t="s">
        <v>54</v>
      </c>
      <c r="C3288" s="11" t="s">
        <v>187</v>
      </c>
      <c r="D3288" s="11">
        <v>1</v>
      </c>
      <c r="E3288" s="11" t="s">
        <v>4</v>
      </c>
      <c r="F3288" s="12">
        <v>85600</v>
      </c>
      <c r="G3288" s="12">
        <v>85600</v>
      </c>
      <c r="H3288" s="11" t="str">
        <f t="shared" si="106"/>
        <v>平成6年9月14日</v>
      </c>
      <c r="I3288" s="22">
        <f t="shared" si="107"/>
        <v>34591</v>
      </c>
      <c r="J3288" s="1" t="str">
        <f>"00743401"</f>
        <v>00743401</v>
      </c>
      <c r="K3288" s="1" t="str">
        <f>"５７８　　　　　　　　　　　　　　　　　"</f>
        <v>５７８　　　　　　　　　　　　　　　　　</v>
      </c>
      <c r="L3288" s="1"/>
    </row>
    <row r="3289" spans="1:12" ht="18" customHeight="1" x14ac:dyDescent="0.15">
      <c r="A3289" s="11">
        <v>3492</v>
      </c>
      <c r="B3289" s="11" t="s">
        <v>54</v>
      </c>
      <c r="C3289" s="11" t="s">
        <v>187</v>
      </c>
      <c r="D3289" s="11">
        <v>1</v>
      </c>
      <c r="E3289" s="11" t="s">
        <v>4</v>
      </c>
      <c r="F3289" s="12">
        <v>85600</v>
      </c>
      <c r="G3289" s="12">
        <v>85600</v>
      </c>
      <c r="H3289" s="11" t="str">
        <f t="shared" si="106"/>
        <v>平成6年9月14日</v>
      </c>
      <c r="I3289" s="22">
        <f t="shared" si="107"/>
        <v>34591</v>
      </c>
      <c r="J3289" s="1" t="str">
        <f>"00743403"</f>
        <v>00743403</v>
      </c>
      <c r="K3289" s="1" t="str">
        <f>"５７９　　　　　　　　　　　　　　　　　"</f>
        <v>５７９　　　　　　　　　　　　　　　　　</v>
      </c>
      <c r="L3289" s="1"/>
    </row>
    <row r="3290" spans="1:12" ht="18" customHeight="1" x14ac:dyDescent="0.15">
      <c r="A3290" s="11">
        <v>3493</v>
      </c>
      <c r="B3290" s="11" t="s">
        <v>54</v>
      </c>
      <c r="C3290" s="11" t="s">
        <v>187</v>
      </c>
      <c r="D3290" s="11">
        <v>1</v>
      </c>
      <c r="E3290" s="11" t="s">
        <v>4</v>
      </c>
      <c r="F3290" s="12">
        <v>85600</v>
      </c>
      <c r="G3290" s="12">
        <v>85600</v>
      </c>
      <c r="H3290" s="11" t="str">
        <f t="shared" si="106"/>
        <v>平成6年9月14日</v>
      </c>
      <c r="I3290" s="22">
        <f t="shared" si="107"/>
        <v>34591</v>
      </c>
      <c r="J3290" s="1" t="str">
        <f>"00743405"</f>
        <v>00743405</v>
      </c>
      <c r="K3290" s="1" t="str">
        <f>"５８０　　　　　　　　　　　　　　　　　"</f>
        <v>５８０　　　　　　　　　　　　　　　　　</v>
      </c>
      <c r="L3290" s="1"/>
    </row>
    <row r="3291" spans="1:12" ht="18" customHeight="1" x14ac:dyDescent="0.15">
      <c r="A3291" s="11">
        <v>3494</v>
      </c>
      <c r="B3291" s="11" t="s">
        <v>54</v>
      </c>
      <c r="C3291" s="11" t="s">
        <v>187</v>
      </c>
      <c r="D3291" s="11">
        <v>1</v>
      </c>
      <c r="E3291" s="11" t="s">
        <v>4</v>
      </c>
      <c r="F3291" s="12">
        <v>85600</v>
      </c>
      <c r="G3291" s="12">
        <v>85600</v>
      </c>
      <c r="H3291" s="11" t="str">
        <f t="shared" si="106"/>
        <v>平成6年9月14日</v>
      </c>
      <c r="I3291" s="22">
        <f t="shared" si="107"/>
        <v>34591</v>
      </c>
      <c r="J3291" s="1" t="str">
        <f>"00743407"</f>
        <v>00743407</v>
      </c>
      <c r="K3291" s="1" t="str">
        <f>"５８１　　　　　　　　　　　　　　　　　"</f>
        <v>５８１　　　　　　　　　　　　　　　　　</v>
      </c>
      <c r="L3291" s="1"/>
    </row>
    <row r="3292" spans="1:12" ht="18" customHeight="1" x14ac:dyDescent="0.15">
      <c r="A3292" s="11">
        <v>3495</v>
      </c>
      <c r="B3292" s="11" t="s">
        <v>54</v>
      </c>
      <c r="C3292" s="11" t="s">
        <v>187</v>
      </c>
      <c r="D3292" s="11">
        <v>1</v>
      </c>
      <c r="E3292" s="11" t="s">
        <v>4</v>
      </c>
      <c r="F3292" s="12">
        <v>85600</v>
      </c>
      <c r="G3292" s="12">
        <v>85600</v>
      </c>
      <c r="H3292" s="11" t="str">
        <f t="shared" si="106"/>
        <v>平成6年9月14日</v>
      </c>
      <c r="I3292" s="22">
        <f t="shared" si="107"/>
        <v>34591</v>
      </c>
      <c r="J3292" s="1" t="str">
        <f>"00743409"</f>
        <v>00743409</v>
      </c>
      <c r="K3292" s="1" t="str">
        <f>"５８２　　　　　　　　　　　　　　　　　"</f>
        <v>５８２　　　　　　　　　　　　　　　　　</v>
      </c>
      <c r="L3292" s="1"/>
    </row>
    <row r="3293" spans="1:12" ht="18" customHeight="1" x14ac:dyDescent="0.15">
      <c r="A3293" s="11">
        <v>3496</v>
      </c>
      <c r="B3293" s="11" t="s">
        <v>54</v>
      </c>
      <c r="C3293" s="11" t="s">
        <v>187</v>
      </c>
      <c r="D3293" s="11">
        <v>1</v>
      </c>
      <c r="E3293" s="11" t="s">
        <v>4</v>
      </c>
      <c r="F3293" s="12">
        <v>85600</v>
      </c>
      <c r="G3293" s="12">
        <v>85600</v>
      </c>
      <c r="H3293" s="11" t="str">
        <f t="shared" si="106"/>
        <v>平成6年9月14日</v>
      </c>
      <c r="I3293" s="22">
        <f t="shared" si="107"/>
        <v>34591</v>
      </c>
      <c r="J3293" s="1" t="str">
        <f>"00743411"</f>
        <v>00743411</v>
      </c>
      <c r="K3293" s="1" t="str">
        <f>"５８３　　　　　　　　　　　　　　　　　"</f>
        <v>５８３　　　　　　　　　　　　　　　　　</v>
      </c>
      <c r="L3293" s="1"/>
    </row>
    <row r="3294" spans="1:12" ht="18" customHeight="1" x14ac:dyDescent="0.15">
      <c r="A3294" s="11">
        <v>3497</v>
      </c>
      <c r="B3294" s="11" t="s">
        <v>54</v>
      </c>
      <c r="C3294" s="11" t="s">
        <v>187</v>
      </c>
      <c r="D3294" s="11">
        <v>1</v>
      </c>
      <c r="E3294" s="11" t="s">
        <v>4</v>
      </c>
      <c r="F3294" s="12">
        <v>85600</v>
      </c>
      <c r="G3294" s="12">
        <v>85600</v>
      </c>
      <c r="H3294" s="11" t="str">
        <f t="shared" si="106"/>
        <v>平成6年9月14日</v>
      </c>
      <c r="I3294" s="22">
        <f t="shared" si="107"/>
        <v>34591</v>
      </c>
      <c r="J3294" s="1" t="str">
        <f>"00743413"</f>
        <v>00743413</v>
      </c>
      <c r="K3294" s="1" t="str">
        <f>"５８４　　　　　　　　　　　　　　　　　"</f>
        <v>５８４　　　　　　　　　　　　　　　　　</v>
      </c>
      <c r="L3294" s="1"/>
    </row>
    <row r="3295" spans="1:12" ht="18" customHeight="1" x14ac:dyDescent="0.15">
      <c r="A3295" s="11">
        <v>3498</v>
      </c>
      <c r="B3295" s="11" t="s">
        <v>54</v>
      </c>
      <c r="C3295" s="11" t="s">
        <v>187</v>
      </c>
      <c r="D3295" s="11">
        <v>1</v>
      </c>
      <c r="E3295" s="11" t="s">
        <v>4</v>
      </c>
      <c r="F3295" s="12">
        <v>85600</v>
      </c>
      <c r="G3295" s="12">
        <v>85600</v>
      </c>
      <c r="H3295" s="11" t="str">
        <f t="shared" si="106"/>
        <v>平成6年9月14日</v>
      </c>
      <c r="I3295" s="22">
        <f t="shared" si="107"/>
        <v>34591</v>
      </c>
      <c r="J3295" s="1" t="str">
        <f>"00743414"</f>
        <v>00743414</v>
      </c>
      <c r="K3295" s="1" t="str">
        <f>"５８５　　　　　　　　　　　　　　　　　"</f>
        <v>５８５　　　　　　　　　　　　　　　　　</v>
      </c>
      <c r="L3295" s="1"/>
    </row>
    <row r="3296" spans="1:12" ht="18" customHeight="1" x14ac:dyDescent="0.15">
      <c r="A3296" s="11">
        <v>3499</v>
      </c>
      <c r="B3296" s="11" t="s">
        <v>54</v>
      </c>
      <c r="C3296" s="11" t="s">
        <v>187</v>
      </c>
      <c r="D3296" s="11">
        <v>1</v>
      </c>
      <c r="E3296" s="11" t="s">
        <v>4</v>
      </c>
      <c r="F3296" s="12">
        <v>85600</v>
      </c>
      <c r="G3296" s="12">
        <v>85600</v>
      </c>
      <c r="H3296" s="11" t="str">
        <f t="shared" si="106"/>
        <v>平成6年9月14日</v>
      </c>
      <c r="I3296" s="22">
        <f t="shared" si="107"/>
        <v>34591</v>
      </c>
      <c r="J3296" s="1" t="str">
        <f>"00743416"</f>
        <v>00743416</v>
      </c>
      <c r="K3296" s="1" t="str">
        <f>"５８６　　　　　　　　　　　　　　　　　"</f>
        <v>５８６　　　　　　　　　　　　　　　　　</v>
      </c>
      <c r="L3296" s="1"/>
    </row>
    <row r="3297" spans="1:12" ht="18" customHeight="1" x14ac:dyDescent="0.15">
      <c r="A3297" s="11">
        <v>3500</v>
      </c>
      <c r="B3297" s="11" t="s">
        <v>54</v>
      </c>
      <c r="C3297" s="11" t="s">
        <v>187</v>
      </c>
      <c r="D3297" s="11">
        <v>1</v>
      </c>
      <c r="E3297" s="11" t="s">
        <v>4</v>
      </c>
      <c r="F3297" s="12">
        <v>85600</v>
      </c>
      <c r="G3297" s="12">
        <v>85600</v>
      </c>
      <c r="H3297" s="11" t="str">
        <f t="shared" si="106"/>
        <v>平成6年9月14日</v>
      </c>
      <c r="I3297" s="22">
        <f t="shared" si="107"/>
        <v>34591</v>
      </c>
      <c r="J3297" s="1" t="str">
        <f>"00743418"</f>
        <v>00743418</v>
      </c>
      <c r="K3297" s="1" t="str">
        <f>"５８７　　　　　　　　　　　　　　　　　"</f>
        <v>５８７　　　　　　　　　　　　　　　　　</v>
      </c>
      <c r="L3297" s="1"/>
    </row>
    <row r="3298" spans="1:12" ht="18" customHeight="1" x14ac:dyDescent="0.15">
      <c r="A3298" s="11">
        <v>3501</v>
      </c>
      <c r="B3298" s="11" t="s">
        <v>54</v>
      </c>
      <c r="C3298" s="11" t="s">
        <v>187</v>
      </c>
      <c r="D3298" s="11">
        <v>1</v>
      </c>
      <c r="E3298" s="11" t="s">
        <v>4</v>
      </c>
      <c r="F3298" s="12">
        <v>85600</v>
      </c>
      <c r="G3298" s="12">
        <v>85600</v>
      </c>
      <c r="H3298" s="11" t="str">
        <f t="shared" si="106"/>
        <v>平成6年9月14日</v>
      </c>
      <c r="I3298" s="22">
        <f t="shared" si="107"/>
        <v>34591</v>
      </c>
      <c r="J3298" s="1" t="str">
        <f>"00743421"</f>
        <v>00743421</v>
      </c>
      <c r="K3298" s="1" t="str">
        <f>"５８８　　　　　　　　　　　　　　　　　"</f>
        <v>５８８　　　　　　　　　　　　　　　　　</v>
      </c>
      <c r="L3298" s="1"/>
    </row>
    <row r="3299" spans="1:12" ht="18" customHeight="1" x14ac:dyDescent="0.15">
      <c r="A3299" s="11">
        <v>3502</v>
      </c>
      <c r="B3299" s="11" t="s">
        <v>54</v>
      </c>
      <c r="C3299" s="11" t="s">
        <v>187</v>
      </c>
      <c r="D3299" s="11">
        <v>1</v>
      </c>
      <c r="E3299" s="11" t="s">
        <v>4</v>
      </c>
      <c r="F3299" s="12">
        <v>85600</v>
      </c>
      <c r="G3299" s="12">
        <v>85600</v>
      </c>
      <c r="H3299" s="11" t="str">
        <f t="shared" si="106"/>
        <v>平成6年9月14日</v>
      </c>
      <c r="I3299" s="22">
        <f t="shared" si="107"/>
        <v>34591</v>
      </c>
      <c r="J3299" s="1" t="str">
        <f>"00743423"</f>
        <v>00743423</v>
      </c>
      <c r="K3299" s="1" t="str">
        <f>"５８９　　　　　　　　　　　　　　　　　"</f>
        <v>５８９　　　　　　　　　　　　　　　　　</v>
      </c>
      <c r="L3299" s="1"/>
    </row>
    <row r="3300" spans="1:12" ht="18" customHeight="1" x14ac:dyDescent="0.15">
      <c r="A3300" s="11">
        <v>3503</v>
      </c>
      <c r="B3300" s="11" t="s">
        <v>54</v>
      </c>
      <c r="C3300" s="11" t="s">
        <v>187</v>
      </c>
      <c r="D3300" s="11">
        <v>1</v>
      </c>
      <c r="E3300" s="11" t="s">
        <v>4</v>
      </c>
      <c r="F3300" s="12">
        <v>85600</v>
      </c>
      <c r="G3300" s="12">
        <v>85600</v>
      </c>
      <c r="H3300" s="11" t="str">
        <f t="shared" si="106"/>
        <v>平成6年9月14日</v>
      </c>
      <c r="I3300" s="22">
        <f t="shared" si="107"/>
        <v>34591</v>
      </c>
      <c r="J3300" s="1" t="str">
        <f>"00743425"</f>
        <v>00743425</v>
      </c>
      <c r="K3300" s="1" t="str">
        <f>"５９０　　　　　　　　　　　　　　　　　"</f>
        <v>５９０　　　　　　　　　　　　　　　　　</v>
      </c>
      <c r="L3300" s="1"/>
    </row>
    <row r="3301" spans="1:12" ht="18" customHeight="1" x14ac:dyDescent="0.15">
      <c r="A3301" s="11">
        <v>3504</v>
      </c>
      <c r="B3301" s="11" t="s">
        <v>54</v>
      </c>
      <c r="C3301" s="11" t="s">
        <v>187</v>
      </c>
      <c r="D3301" s="11">
        <v>1</v>
      </c>
      <c r="E3301" s="11" t="s">
        <v>4</v>
      </c>
      <c r="F3301" s="12">
        <v>85600</v>
      </c>
      <c r="G3301" s="12">
        <v>85600</v>
      </c>
      <c r="H3301" s="11" t="str">
        <f t="shared" si="106"/>
        <v>平成6年9月14日</v>
      </c>
      <c r="I3301" s="22">
        <f t="shared" si="107"/>
        <v>34591</v>
      </c>
      <c r="J3301" s="1" t="str">
        <f>"00743427"</f>
        <v>00743427</v>
      </c>
      <c r="K3301" s="1" t="str">
        <f>"５９１　　　　　　　　　　　　　　　　　"</f>
        <v>５９１　　　　　　　　　　　　　　　　　</v>
      </c>
      <c r="L3301" s="1"/>
    </row>
    <row r="3302" spans="1:12" ht="18" customHeight="1" x14ac:dyDescent="0.15">
      <c r="A3302" s="11">
        <v>3505</v>
      </c>
      <c r="B3302" s="11" t="s">
        <v>54</v>
      </c>
      <c r="C3302" s="11" t="s">
        <v>187</v>
      </c>
      <c r="D3302" s="11">
        <v>1</v>
      </c>
      <c r="E3302" s="11" t="s">
        <v>4</v>
      </c>
      <c r="F3302" s="12">
        <v>85600</v>
      </c>
      <c r="G3302" s="12">
        <v>85600</v>
      </c>
      <c r="H3302" s="11" t="str">
        <f t="shared" si="106"/>
        <v>平成6年9月14日</v>
      </c>
      <c r="I3302" s="22">
        <f t="shared" si="107"/>
        <v>34591</v>
      </c>
      <c r="J3302" s="1" t="str">
        <f>"00743429"</f>
        <v>00743429</v>
      </c>
      <c r="K3302" s="1" t="str">
        <f>"５９２　　　　　　　　　　　　　　　　　"</f>
        <v>５９２　　　　　　　　　　　　　　　　　</v>
      </c>
      <c r="L3302" s="1"/>
    </row>
    <row r="3303" spans="1:12" ht="18" customHeight="1" x14ac:dyDescent="0.15">
      <c r="A3303" s="11">
        <v>3506</v>
      </c>
      <c r="B3303" s="11" t="s">
        <v>54</v>
      </c>
      <c r="C3303" s="11" t="s">
        <v>187</v>
      </c>
      <c r="D3303" s="11">
        <v>1</v>
      </c>
      <c r="E3303" s="11" t="s">
        <v>4</v>
      </c>
      <c r="F3303" s="12">
        <v>85600</v>
      </c>
      <c r="G3303" s="12">
        <v>85600</v>
      </c>
      <c r="H3303" s="11" t="str">
        <f t="shared" si="106"/>
        <v>平成6年9月14日</v>
      </c>
      <c r="I3303" s="22">
        <f t="shared" si="107"/>
        <v>34591</v>
      </c>
      <c r="J3303" s="1" t="str">
        <f>"00743430"</f>
        <v>00743430</v>
      </c>
      <c r="K3303" s="1" t="str">
        <f>"５９３　　　　　　　　　　　　　　　　　"</f>
        <v>５９３　　　　　　　　　　　　　　　　　</v>
      </c>
      <c r="L3303" s="1"/>
    </row>
    <row r="3304" spans="1:12" ht="18" customHeight="1" x14ac:dyDescent="0.15">
      <c r="A3304" s="11">
        <v>3507</v>
      </c>
      <c r="B3304" s="11" t="s">
        <v>54</v>
      </c>
      <c r="C3304" s="11" t="s">
        <v>187</v>
      </c>
      <c r="D3304" s="11">
        <v>1</v>
      </c>
      <c r="E3304" s="11" t="s">
        <v>4</v>
      </c>
      <c r="F3304" s="12">
        <v>85600</v>
      </c>
      <c r="G3304" s="12">
        <v>85600</v>
      </c>
      <c r="H3304" s="11" t="str">
        <f t="shared" si="106"/>
        <v>平成6年9月14日</v>
      </c>
      <c r="I3304" s="22">
        <f t="shared" si="107"/>
        <v>34591</v>
      </c>
      <c r="J3304" s="1" t="str">
        <f>"00743433"</f>
        <v>00743433</v>
      </c>
      <c r="K3304" s="1" t="str">
        <f>"５９４　　　　　　　　　　　　　　　　　"</f>
        <v>５９４　　　　　　　　　　　　　　　　　</v>
      </c>
      <c r="L3304" s="1"/>
    </row>
    <row r="3305" spans="1:12" ht="18" customHeight="1" x14ac:dyDescent="0.15">
      <c r="A3305" s="11">
        <v>3508</v>
      </c>
      <c r="B3305" s="11" t="s">
        <v>54</v>
      </c>
      <c r="C3305" s="11" t="s">
        <v>187</v>
      </c>
      <c r="D3305" s="11">
        <v>1</v>
      </c>
      <c r="E3305" s="11" t="s">
        <v>4</v>
      </c>
      <c r="F3305" s="12">
        <v>85600</v>
      </c>
      <c r="G3305" s="12">
        <v>85600</v>
      </c>
      <c r="H3305" s="11" t="str">
        <f t="shared" si="106"/>
        <v>平成6年9月14日</v>
      </c>
      <c r="I3305" s="22">
        <f t="shared" si="107"/>
        <v>34591</v>
      </c>
      <c r="J3305" s="1" t="str">
        <f>"00743434"</f>
        <v>00743434</v>
      </c>
      <c r="K3305" s="1" t="str">
        <f>"５９５　　　　　　　　　　　　　　　　　"</f>
        <v>５９５　　　　　　　　　　　　　　　　　</v>
      </c>
      <c r="L3305" s="1"/>
    </row>
    <row r="3306" spans="1:12" ht="18" customHeight="1" x14ac:dyDescent="0.15">
      <c r="A3306" s="11">
        <v>3509</v>
      </c>
      <c r="B3306" s="11" t="s">
        <v>54</v>
      </c>
      <c r="C3306" s="11" t="s">
        <v>187</v>
      </c>
      <c r="D3306" s="11">
        <v>1</v>
      </c>
      <c r="E3306" s="11" t="s">
        <v>4</v>
      </c>
      <c r="F3306" s="12">
        <v>85600</v>
      </c>
      <c r="G3306" s="12">
        <v>85600</v>
      </c>
      <c r="H3306" s="11" t="str">
        <f t="shared" si="106"/>
        <v>平成6年9月14日</v>
      </c>
      <c r="I3306" s="22">
        <f t="shared" si="107"/>
        <v>34591</v>
      </c>
      <c r="J3306" s="1" t="str">
        <f>"00743436"</f>
        <v>00743436</v>
      </c>
      <c r="K3306" s="1" t="str">
        <f>"５９６　　　　　　　　　　　　　　　　　"</f>
        <v>５９６　　　　　　　　　　　　　　　　　</v>
      </c>
      <c r="L3306" s="1"/>
    </row>
    <row r="3307" spans="1:12" ht="18" customHeight="1" x14ac:dyDescent="0.15">
      <c r="A3307" s="11">
        <v>3510</v>
      </c>
      <c r="B3307" s="11" t="s">
        <v>54</v>
      </c>
      <c r="C3307" s="11" t="s">
        <v>187</v>
      </c>
      <c r="D3307" s="11">
        <v>1</v>
      </c>
      <c r="E3307" s="11" t="s">
        <v>4</v>
      </c>
      <c r="F3307" s="12">
        <v>85600</v>
      </c>
      <c r="G3307" s="12">
        <v>85600</v>
      </c>
      <c r="H3307" s="11" t="str">
        <f t="shared" si="106"/>
        <v>平成6年9月14日</v>
      </c>
      <c r="I3307" s="22">
        <f t="shared" si="107"/>
        <v>34591</v>
      </c>
      <c r="J3307" s="1" t="str">
        <f>"00743438"</f>
        <v>00743438</v>
      </c>
      <c r="K3307" s="1" t="str">
        <f>"５９７　　　　　　　　　　　　　　　　　"</f>
        <v>５９７　　　　　　　　　　　　　　　　　</v>
      </c>
      <c r="L3307" s="1"/>
    </row>
    <row r="3308" spans="1:12" ht="18" customHeight="1" x14ac:dyDescent="0.15">
      <c r="A3308" s="11">
        <v>3511</v>
      </c>
      <c r="B3308" s="11" t="s">
        <v>54</v>
      </c>
      <c r="C3308" s="11" t="s">
        <v>187</v>
      </c>
      <c r="D3308" s="11">
        <v>1</v>
      </c>
      <c r="E3308" s="11" t="s">
        <v>4</v>
      </c>
      <c r="F3308" s="12">
        <v>85600</v>
      </c>
      <c r="G3308" s="12">
        <v>85600</v>
      </c>
      <c r="H3308" s="11" t="str">
        <f t="shared" si="106"/>
        <v>平成6年9月14日</v>
      </c>
      <c r="I3308" s="22">
        <f t="shared" si="107"/>
        <v>34591</v>
      </c>
      <c r="J3308" s="1" t="str">
        <f>"00743441"</f>
        <v>00743441</v>
      </c>
      <c r="K3308" s="1" t="str">
        <f>"５９８　　　　　　　　　　　　　　　　　"</f>
        <v>５９８　　　　　　　　　　　　　　　　　</v>
      </c>
      <c r="L3308" s="1"/>
    </row>
    <row r="3309" spans="1:12" ht="18" customHeight="1" x14ac:dyDescent="0.15">
      <c r="A3309" s="11">
        <v>3512</v>
      </c>
      <c r="B3309" s="11" t="s">
        <v>54</v>
      </c>
      <c r="C3309" s="11" t="s">
        <v>187</v>
      </c>
      <c r="D3309" s="11">
        <v>1</v>
      </c>
      <c r="E3309" s="11" t="s">
        <v>4</v>
      </c>
      <c r="F3309" s="12">
        <v>85600</v>
      </c>
      <c r="G3309" s="12">
        <v>85600</v>
      </c>
      <c r="H3309" s="11" t="str">
        <f t="shared" si="106"/>
        <v>平成6年9月14日</v>
      </c>
      <c r="I3309" s="22">
        <f t="shared" si="107"/>
        <v>34591</v>
      </c>
      <c r="J3309" s="1" t="str">
        <f>"00743443"</f>
        <v>00743443</v>
      </c>
      <c r="K3309" s="1" t="str">
        <f>"５９９　　　　　　　　　　　　　　　　　"</f>
        <v>５９９　　　　　　　　　　　　　　　　　</v>
      </c>
      <c r="L3309" s="1"/>
    </row>
    <row r="3310" spans="1:12" ht="18" customHeight="1" x14ac:dyDescent="0.15">
      <c r="A3310" s="11">
        <v>3513</v>
      </c>
      <c r="B3310" s="11" t="s">
        <v>54</v>
      </c>
      <c r="C3310" s="11" t="s">
        <v>187</v>
      </c>
      <c r="D3310" s="11">
        <v>1</v>
      </c>
      <c r="E3310" s="11" t="s">
        <v>4</v>
      </c>
      <c r="F3310" s="12">
        <v>85600</v>
      </c>
      <c r="G3310" s="12">
        <v>85600</v>
      </c>
      <c r="H3310" s="11" t="str">
        <f t="shared" si="106"/>
        <v>平成6年9月14日</v>
      </c>
      <c r="I3310" s="22">
        <f t="shared" si="107"/>
        <v>34591</v>
      </c>
      <c r="J3310" s="1" t="str">
        <f>"00743445"</f>
        <v>00743445</v>
      </c>
      <c r="K3310" s="1" t="str">
        <f>"６００　　　　　　　　　　　　　　　　　"</f>
        <v>６００　　　　　　　　　　　　　　　　　</v>
      </c>
      <c r="L3310" s="1"/>
    </row>
    <row r="3311" spans="1:12" ht="18" customHeight="1" x14ac:dyDescent="0.15">
      <c r="A3311" s="11">
        <v>3514</v>
      </c>
      <c r="B3311" s="11" t="s">
        <v>54</v>
      </c>
      <c r="C3311" s="11" t="s">
        <v>187</v>
      </c>
      <c r="D3311" s="11">
        <v>1</v>
      </c>
      <c r="E3311" s="11" t="s">
        <v>4</v>
      </c>
      <c r="F3311" s="12">
        <v>85600</v>
      </c>
      <c r="G3311" s="12">
        <v>85600</v>
      </c>
      <c r="H3311" s="11" t="str">
        <f t="shared" si="106"/>
        <v>平成6年9月14日</v>
      </c>
      <c r="I3311" s="22">
        <f t="shared" si="107"/>
        <v>34591</v>
      </c>
      <c r="J3311" s="1" t="str">
        <f>"00743447"</f>
        <v>00743447</v>
      </c>
      <c r="K3311" s="1" t="str">
        <f>"６０１　　　　　　　　　　　　　　　　　"</f>
        <v>６０１　　　　　　　　　　　　　　　　　</v>
      </c>
      <c r="L3311" s="1"/>
    </row>
    <row r="3312" spans="1:12" ht="18" customHeight="1" x14ac:dyDescent="0.15">
      <c r="A3312" s="11">
        <v>3515</v>
      </c>
      <c r="B3312" s="11" t="s">
        <v>54</v>
      </c>
      <c r="C3312" s="11" t="s">
        <v>187</v>
      </c>
      <c r="D3312" s="11">
        <v>1</v>
      </c>
      <c r="E3312" s="11" t="s">
        <v>4</v>
      </c>
      <c r="F3312" s="12">
        <v>85600</v>
      </c>
      <c r="G3312" s="12">
        <v>85600</v>
      </c>
      <c r="H3312" s="11" t="str">
        <f t="shared" si="106"/>
        <v>平成6年9月14日</v>
      </c>
      <c r="I3312" s="22">
        <f t="shared" si="107"/>
        <v>34591</v>
      </c>
      <c r="J3312" s="1" t="str">
        <f>"00743448"</f>
        <v>00743448</v>
      </c>
      <c r="K3312" s="1" t="str">
        <f>"６０２　　　　　　　　　　　　　　　　　"</f>
        <v>６０２　　　　　　　　　　　　　　　　　</v>
      </c>
      <c r="L3312" s="1"/>
    </row>
    <row r="3313" spans="1:12" ht="18" customHeight="1" x14ac:dyDescent="0.15">
      <c r="A3313" s="11">
        <v>3516</v>
      </c>
      <c r="B3313" s="11" t="s">
        <v>54</v>
      </c>
      <c r="C3313" s="11" t="s">
        <v>187</v>
      </c>
      <c r="D3313" s="11">
        <v>1</v>
      </c>
      <c r="E3313" s="11" t="s">
        <v>4</v>
      </c>
      <c r="F3313" s="12">
        <v>85600</v>
      </c>
      <c r="G3313" s="12">
        <v>85600</v>
      </c>
      <c r="H3313" s="11" t="str">
        <f t="shared" si="106"/>
        <v>平成6年9月14日</v>
      </c>
      <c r="I3313" s="22">
        <f t="shared" si="107"/>
        <v>34591</v>
      </c>
      <c r="J3313" s="1" t="str">
        <f>"00743450"</f>
        <v>00743450</v>
      </c>
      <c r="K3313" s="1" t="str">
        <f>"６０３　　　　　　　　　　　　　　　　　"</f>
        <v>６０３　　　　　　　　　　　　　　　　　</v>
      </c>
      <c r="L3313" s="1"/>
    </row>
    <row r="3314" spans="1:12" ht="18" customHeight="1" x14ac:dyDescent="0.15">
      <c r="A3314" s="11">
        <v>3517</v>
      </c>
      <c r="B3314" s="11" t="s">
        <v>54</v>
      </c>
      <c r="C3314" s="11" t="s">
        <v>187</v>
      </c>
      <c r="D3314" s="11">
        <v>1</v>
      </c>
      <c r="E3314" s="11" t="s">
        <v>4</v>
      </c>
      <c r="F3314" s="12">
        <v>85600</v>
      </c>
      <c r="G3314" s="12">
        <v>85600</v>
      </c>
      <c r="H3314" s="11" t="str">
        <f t="shared" si="106"/>
        <v>平成6年9月14日</v>
      </c>
      <c r="I3314" s="22">
        <f t="shared" si="107"/>
        <v>34591</v>
      </c>
      <c r="J3314" s="1" t="str">
        <f>"00743453"</f>
        <v>00743453</v>
      </c>
      <c r="K3314" s="1" t="str">
        <f>"６０４　　　　　　　　　　　　　　　　　"</f>
        <v>６０４　　　　　　　　　　　　　　　　　</v>
      </c>
      <c r="L3314" s="1"/>
    </row>
    <row r="3315" spans="1:12" ht="18" customHeight="1" x14ac:dyDescent="0.15">
      <c r="A3315" s="11">
        <v>3518</v>
      </c>
      <c r="B3315" s="11" t="s">
        <v>54</v>
      </c>
      <c r="C3315" s="11" t="s">
        <v>187</v>
      </c>
      <c r="D3315" s="11">
        <v>1</v>
      </c>
      <c r="E3315" s="11" t="s">
        <v>4</v>
      </c>
      <c r="F3315" s="12">
        <v>85600</v>
      </c>
      <c r="G3315" s="12">
        <v>85600</v>
      </c>
      <c r="H3315" s="11" t="str">
        <f t="shared" si="106"/>
        <v>平成6年9月14日</v>
      </c>
      <c r="I3315" s="22">
        <f t="shared" si="107"/>
        <v>34591</v>
      </c>
      <c r="J3315" s="1" t="str">
        <f>"00743455"</f>
        <v>00743455</v>
      </c>
      <c r="K3315" s="1" t="str">
        <f>"６０５　　　　　　　　　　　　　　　　　"</f>
        <v>６０５　　　　　　　　　　　　　　　　　</v>
      </c>
      <c r="L3315" s="1"/>
    </row>
    <row r="3316" spans="1:12" ht="18" customHeight="1" x14ac:dyDescent="0.15">
      <c r="A3316" s="11">
        <v>3519</v>
      </c>
      <c r="B3316" s="11" t="s">
        <v>54</v>
      </c>
      <c r="C3316" s="11" t="s">
        <v>187</v>
      </c>
      <c r="D3316" s="11">
        <v>1</v>
      </c>
      <c r="E3316" s="11" t="s">
        <v>4</v>
      </c>
      <c r="F3316" s="12">
        <v>85600</v>
      </c>
      <c r="G3316" s="12">
        <v>85600</v>
      </c>
      <c r="H3316" s="11" t="str">
        <f t="shared" si="106"/>
        <v>平成6年9月14日</v>
      </c>
      <c r="I3316" s="22">
        <f t="shared" si="107"/>
        <v>34591</v>
      </c>
      <c r="J3316" s="1" t="str">
        <f>"00743457"</f>
        <v>00743457</v>
      </c>
      <c r="K3316" s="1" t="str">
        <f>"６０６　　　　　　　　　　　　　　　　　"</f>
        <v>６０６　　　　　　　　　　　　　　　　　</v>
      </c>
      <c r="L3316" s="1"/>
    </row>
    <row r="3317" spans="1:12" ht="18" customHeight="1" x14ac:dyDescent="0.15">
      <c r="A3317" s="11">
        <v>3520</v>
      </c>
      <c r="B3317" s="11" t="s">
        <v>54</v>
      </c>
      <c r="C3317" s="11" t="s">
        <v>187</v>
      </c>
      <c r="D3317" s="11">
        <v>1</v>
      </c>
      <c r="E3317" s="11" t="s">
        <v>4</v>
      </c>
      <c r="F3317" s="12">
        <v>85600</v>
      </c>
      <c r="G3317" s="12">
        <v>85600</v>
      </c>
      <c r="H3317" s="11" t="str">
        <f t="shared" si="106"/>
        <v>平成6年9月14日</v>
      </c>
      <c r="I3317" s="22">
        <f t="shared" si="107"/>
        <v>34591</v>
      </c>
      <c r="J3317" s="1" t="str">
        <f>"00743459"</f>
        <v>00743459</v>
      </c>
      <c r="K3317" s="1" t="str">
        <f>"６０７　　　　　　　　　　　　　　　　　"</f>
        <v>６０７　　　　　　　　　　　　　　　　　</v>
      </c>
      <c r="L3317" s="1"/>
    </row>
    <row r="3318" spans="1:12" ht="18" customHeight="1" x14ac:dyDescent="0.15">
      <c r="A3318" s="11">
        <v>3521</v>
      </c>
      <c r="B3318" s="11" t="s">
        <v>54</v>
      </c>
      <c r="C3318" s="11" t="s">
        <v>187</v>
      </c>
      <c r="D3318" s="11">
        <v>1</v>
      </c>
      <c r="E3318" s="11" t="s">
        <v>4</v>
      </c>
      <c r="F3318" s="12">
        <v>85600</v>
      </c>
      <c r="G3318" s="12">
        <v>85600</v>
      </c>
      <c r="H3318" s="11" t="str">
        <f t="shared" si="106"/>
        <v>平成6年9月14日</v>
      </c>
      <c r="I3318" s="22">
        <f t="shared" si="107"/>
        <v>34591</v>
      </c>
      <c r="J3318" s="1" t="str">
        <f>"00743461"</f>
        <v>00743461</v>
      </c>
      <c r="K3318" s="1" t="str">
        <f>"６０８　　　　　　　　　　　　　　　　　"</f>
        <v>６０８　　　　　　　　　　　　　　　　　</v>
      </c>
      <c r="L3318" s="1"/>
    </row>
    <row r="3319" spans="1:12" ht="18" customHeight="1" x14ac:dyDescent="0.15">
      <c r="A3319" s="11">
        <v>3522</v>
      </c>
      <c r="B3319" s="11" t="s">
        <v>54</v>
      </c>
      <c r="C3319" s="11" t="s">
        <v>187</v>
      </c>
      <c r="D3319" s="11">
        <v>1</v>
      </c>
      <c r="E3319" s="11" t="s">
        <v>4</v>
      </c>
      <c r="F3319" s="12">
        <v>85600</v>
      </c>
      <c r="G3319" s="12">
        <v>85600</v>
      </c>
      <c r="H3319" s="11" t="str">
        <f t="shared" si="106"/>
        <v>平成6年9月14日</v>
      </c>
      <c r="I3319" s="22">
        <f t="shared" si="107"/>
        <v>34591</v>
      </c>
      <c r="J3319" s="1" t="str">
        <f>"00743463"</f>
        <v>00743463</v>
      </c>
      <c r="K3319" s="1" t="str">
        <f>"６０９　　　　　　　　　　　　　　　　　"</f>
        <v>６０９　　　　　　　　　　　　　　　　　</v>
      </c>
      <c r="L3319" s="1"/>
    </row>
    <row r="3320" spans="1:12" ht="18" customHeight="1" x14ac:dyDescent="0.15">
      <c r="A3320" s="11">
        <v>3523</v>
      </c>
      <c r="B3320" s="11" t="s">
        <v>54</v>
      </c>
      <c r="C3320" s="11" t="s">
        <v>187</v>
      </c>
      <c r="D3320" s="11">
        <v>1</v>
      </c>
      <c r="E3320" s="11" t="s">
        <v>4</v>
      </c>
      <c r="F3320" s="12">
        <v>85600</v>
      </c>
      <c r="G3320" s="12">
        <v>85600</v>
      </c>
      <c r="H3320" s="11" t="str">
        <f t="shared" si="106"/>
        <v>平成6年9月14日</v>
      </c>
      <c r="I3320" s="22">
        <f t="shared" si="107"/>
        <v>34591</v>
      </c>
      <c r="J3320" s="1" t="str">
        <f>"00743465"</f>
        <v>00743465</v>
      </c>
      <c r="K3320" s="1" t="str">
        <f>"６１０　　　　　　　　　　　　　　　　　"</f>
        <v>６１０　　　　　　　　　　　　　　　　　</v>
      </c>
      <c r="L3320" s="1"/>
    </row>
    <row r="3321" spans="1:12" ht="18" customHeight="1" x14ac:dyDescent="0.15">
      <c r="A3321" s="11">
        <v>3524</v>
      </c>
      <c r="B3321" s="11" t="s">
        <v>54</v>
      </c>
      <c r="C3321" s="11" t="s">
        <v>187</v>
      </c>
      <c r="D3321" s="11">
        <v>1</v>
      </c>
      <c r="E3321" s="11" t="s">
        <v>4</v>
      </c>
      <c r="F3321" s="12">
        <v>85600</v>
      </c>
      <c r="G3321" s="12">
        <v>85600</v>
      </c>
      <c r="H3321" s="11" t="str">
        <f t="shared" si="106"/>
        <v>平成6年9月14日</v>
      </c>
      <c r="I3321" s="22">
        <f t="shared" si="107"/>
        <v>34591</v>
      </c>
      <c r="J3321" s="1" t="str">
        <f>"00743467"</f>
        <v>00743467</v>
      </c>
      <c r="K3321" s="1" t="str">
        <f>"６１１　　　　　　　　　　　　　　　　　"</f>
        <v>６１１　　　　　　　　　　　　　　　　　</v>
      </c>
      <c r="L3321" s="1"/>
    </row>
    <row r="3322" spans="1:12" ht="18" customHeight="1" x14ac:dyDescent="0.15">
      <c r="A3322" s="11">
        <v>3525</v>
      </c>
      <c r="B3322" s="11" t="s">
        <v>54</v>
      </c>
      <c r="C3322" s="11" t="s">
        <v>187</v>
      </c>
      <c r="D3322" s="11">
        <v>1</v>
      </c>
      <c r="E3322" s="11" t="s">
        <v>4</v>
      </c>
      <c r="F3322" s="12">
        <v>85600</v>
      </c>
      <c r="G3322" s="12">
        <v>85600</v>
      </c>
      <c r="H3322" s="11" t="str">
        <f t="shared" si="106"/>
        <v>平成6年9月14日</v>
      </c>
      <c r="I3322" s="22">
        <f t="shared" si="107"/>
        <v>34591</v>
      </c>
      <c r="J3322" s="1" t="str">
        <f>"00743469"</f>
        <v>00743469</v>
      </c>
      <c r="K3322" s="1" t="str">
        <f>"６１２　　　　　　　　　　　　　　　　　"</f>
        <v>６１２　　　　　　　　　　　　　　　　　</v>
      </c>
      <c r="L3322" s="1"/>
    </row>
    <row r="3323" spans="1:12" ht="18" customHeight="1" x14ac:dyDescent="0.15">
      <c r="A3323" s="11">
        <v>3526</v>
      </c>
      <c r="B3323" s="11" t="s">
        <v>54</v>
      </c>
      <c r="C3323" s="11" t="s">
        <v>187</v>
      </c>
      <c r="D3323" s="11">
        <v>1</v>
      </c>
      <c r="E3323" s="11" t="s">
        <v>4</v>
      </c>
      <c r="F3323" s="12">
        <v>85600</v>
      </c>
      <c r="G3323" s="12">
        <v>85600</v>
      </c>
      <c r="H3323" s="11" t="str">
        <f t="shared" si="106"/>
        <v>平成6年9月14日</v>
      </c>
      <c r="I3323" s="22">
        <f t="shared" si="107"/>
        <v>34591</v>
      </c>
      <c r="J3323" s="1" t="str">
        <f>"00743471"</f>
        <v>00743471</v>
      </c>
      <c r="K3323" s="1" t="str">
        <f>"６１３　　　　　　　　　　　　　　　　　"</f>
        <v>６１３　　　　　　　　　　　　　　　　　</v>
      </c>
      <c r="L3323" s="1"/>
    </row>
    <row r="3324" spans="1:12" ht="18" customHeight="1" x14ac:dyDescent="0.15">
      <c r="A3324" s="11">
        <v>3527</v>
      </c>
      <c r="B3324" s="11" t="s">
        <v>54</v>
      </c>
      <c r="C3324" s="11" t="s">
        <v>187</v>
      </c>
      <c r="D3324" s="11">
        <v>1</v>
      </c>
      <c r="E3324" s="11" t="s">
        <v>4</v>
      </c>
      <c r="F3324" s="12">
        <v>85600</v>
      </c>
      <c r="G3324" s="12">
        <v>85600</v>
      </c>
      <c r="H3324" s="11" t="str">
        <f t="shared" si="106"/>
        <v>平成6年9月14日</v>
      </c>
      <c r="I3324" s="22">
        <f t="shared" si="107"/>
        <v>34591</v>
      </c>
      <c r="J3324" s="1" t="str">
        <f>"00743473"</f>
        <v>00743473</v>
      </c>
      <c r="K3324" s="1" t="str">
        <f>"６１４　　　　　　　　　　　　　　　　　"</f>
        <v>６１４　　　　　　　　　　　　　　　　　</v>
      </c>
      <c r="L3324" s="1"/>
    </row>
    <row r="3325" spans="1:12" ht="18" customHeight="1" x14ac:dyDescent="0.15">
      <c r="A3325" s="11">
        <v>3528</v>
      </c>
      <c r="B3325" s="11" t="s">
        <v>54</v>
      </c>
      <c r="C3325" s="11" t="s">
        <v>187</v>
      </c>
      <c r="D3325" s="11">
        <v>1</v>
      </c>
      <c r="E3325" s="11" t="s">
        <v>4</v>
      </c>
      <c r="F3325" s="12">
        <v>85600</v>
      </c>
      <c r="G3325" s="12">
        <v>85600</v>
      </c>
      <c r="H3325" s="11" t="str">
        <f t="shared" si="106"/>
        <v>平成6年9月14日</v>
      </c>
      <c r="I3325" s="22">
        <f t="shared" si="107"/>
        <v>34591</v>
      </c>
      <c r="J3325" s="1" t="str">
        <f>"00743475"</f>
        <v>00743475</v>
      </c>
      <c r="K3325" s="1" t="str">
        <f>"６１５　　　　　　　　　　　　　　　　　"</f>
        <v>６１５　　　　　　　　　　　　　　　　　</v>
      </c>
      <c r="L3325" s="1"/>
    </row>
    <row r="3326" spans="1:12" ht="18" customHeight="1" x14ac:dyDescent="0.15">
      <c r="A3326" s="11">
        <v>3529</v>
      </c>
      <c r="B3326" s="11" t="s">
        <v>54</v>
      </c>
      <c r="C3326" s="11" t="s">
        <v>187</v>
      </c>
      <c r="D3326" s="11">
        <v>1</v>
      </c>
      <c r="E3326" s="11" t="s">
        <v>4</v>
      </c>
      <c r="F3326" s="12">
        <v>85600</v>
      </c>
      <c r="G3326" s="12">
        <v>85600</v>
      </c>
      <c r="H3326" s="11" t="str">
        <f t="shared" si="106"/>
        <v>平成6年9月14日</v>
      </c>
      <c r="I3326" s="22">
        <f t="shared" si="107"/>
        <v>34591</v>
      </c>
      <c r="J3326" s="1" t="str">
        <f>"00743477"</f>
        <v>00743477</v>
      </c>
      <c r="K3326" s="1" t="str">
        <f>"６１６　　　　　　　　　　　　　　　　　"</f>
        <v>６１６　　　　　　　　　　　　　　　　　</v>
      </c>
      <c r="L3326" s="1"/>
    </row>
    <row r="3327" spans="1:12" ht="18" customHeight="1" x14ac:dyDescent="0.15">
      <c r="A3327" s="11">
        <v>3530</v>
      </c>
      <c r="B3327" s="11" t="s">
        <v>54</v>
      </c>
      <c r="C3327" s="11" t="s">
        <v>187</v>
      </c>
      <c r="D3327" s="11">
        <v>1</v>
      </c>
      <c r="E3327" s="11" t="s">
        <v>4</v>
      </c>
      <c r="F3327" s="12">
        <v>85600</v>
      </c>
      <c r="G3327" s="12">
        <v>85600</v>
      </c>
      <c r="H3327" s="11" t="str">
        <f t="shared" si="106"/>
        <v>平成6年9月14日</v>
      </c>
      <c r="I3327" s="22">
        <f t="shared" si="107"/>
        <v>34591</v>
      </c>
      <c r="J3327" s="1" t="str">
        <f>"00743479"</f>
        <v>00743479</v>
      </c>
      <c r="K3327" s="1" t="str">
        <f>"６１７　　　　　　　　　　　　　　　　　"</f>
        <v>６１７　　　　　　　　　　　　　　　　　</v>
      </c>
      <c r="L3327" s="1"/>
    </row>
    <row r="3328" spans="1:12" ht="18" customHeight="1" x14ac:dyDescent="0.15">
      <c r="A3328" s="11">
        <v>3531</v>
      </c>
      <c r="B3328" s="11" t="s">
        <v>54</v>
      </c>
      <c r="C3328" s="11" t="s">
        <v>187</v>
      </c>
      <c r="D3328" s="11">
        <v>1</v>
      </c>
      <c r="E3328" s="11" t="s">
        <v>4</v>
      </c>
      <c r="F3328" s="12">
        <v>85600</v>
      </c>
      <c r="G3328" s="12">
        <v>85600</v>
      </c>
      <c r="H3328" s="11" t="str">
        <f t="shared" si="106"/>
        <v>平成6年9月14日</v>
      </c>
      <c r="I3328" s="22">
        <f t="shared" si="107"/>
        <v>34591</v>
      </c>
      <c r="J3328" s="1" t="str">
        <f>"00743481"</f>
        <v>00743481</v>
      </c>
      <c r="K3328" s="1" t="str">
        <f>"６１８　　　　　　　　　　　　　　　　　"</f>
        <v>６１８　　　　　　　　　　　　　　　　　</v>
      </c>
      <c r="L3328" s="1"/>
    </row>
    <row r="3329" spans="1:12" ht="18" customHeight="1" x14ac:dyDescent="0.15">
      <c r="A3329" s="11">
        <v>3532</v>
      </c>
      <c r="B3329" s="11" t="s">
        <v>54</v>
      </c>
      <c r="C3329" s="11" t="s">
        <v>187</v>
      </c>
      <c r="D3329" s="11">
        <v>1</v>
      </c>
      <c r="E3329" s="11" t="s">
        <v>4</v>
      </c>
      <c r="F3329" s="12">
        <v>85600</v>
      </c>
      <c r="G3329" s="12">
        <v>85600</v>
      </c>
      <c r="H3329" s="11" t="str">
        <f t="shared" si="106"/>
        <v>平成6年9月14日</v>
      </c>
      <c r="I3329" s="22">
        <f t="shared" si="107"/>
        <v>34591</v>
      </c>
      <c r="J3329" s="1" t="str">
        <f>"00743483"</f>
        <v>00743483</v>
      </c>
      <c r="K3329" s="1" t="str">
        <f>"６１９　　　　　　　　　　　　　　　　　"</f>
        <v>６１９　　　　　　　　　　　　　　　　　</v>
      </c>
      <c r="L3329" s="1"/>
    </row>
    <row r="3330" spans="1:12" ht="18" customHeight="1" x14ac:dyDescent="0.15">
      <c r="A3330" s="11">
        <v>3533</v>
      </c>
      <c r="B3330" s="11" t="s">
        <v>54</v>
      </c>
      <c r="C3330" s="11" t="s">
        <v>187</v>
      </c>
      <c r="D3330" s="11">
        <v>1</v>
      </c>
      <c r="E3330" s="11" t="s">
        <v>4</v>
      </c>
      <c r="F3330" s="12">
        <v>85600</v>
      </c>
      <c r="G3330" s="12">
        <v>85600</v>
      </c>
      <c r="H3330" s="11" t="str">
        <f t="shared" si="106"/>
        <v>平成6年9月14日</v>
      </c>
      <c r="I3330" s="22">
        <f t="shared" si="107"/>
        <v>34591</v>
      </c>
      <c r="J3330" s="1" t="str">
        <f>"00743485"</f>
        <v>00743485</v>
      </c>
      <c r="K3330" s="1" t="str">
        <f>"６２０　　　　　　　　　　　　　　　　　"</f>
        <v>６２０　　　　　　　　　　　　　　　　　</v>
      </c>
      <c r="L3330" s="1"/>
    </row>
    <row r="3331" spans="1:12" ht="18" customHeight="1" x14ac:dyDescent="0.15">
      <c r="A3331" s="11">
        <v>3534</v>
      </c>
      <c r="B3331" s="11" t="s">
        <v>54</v>
      </c>
      <c r="C3331" s="11" t="s">
        <v>187</v>
      </c>
      <c r="D3331" s="11">
        <v>1</v>
      </c>
      <c r="E3331" s="11" t="s">
        <v>4</v>
      </c>
      <c r="F3331" s="12">
        <v>85600</v>
      </c>
      <c r="G3331" s="12">
        <v>85600</v>
      </c>
      <c r="H3331" s="11" t="str">
        <f t="shared" si="106"/>
        <v>平成6年9月14日</v>
      </c>
      <c r="I3331" s="22">
        <f t="shared" si="107"/>
        <v>34591</v>
      </c>
      <c r="J3331" s="1" t="str">
        <f>"00743487"</f>
        <v>00743487</v>
      </c>
      <c r="K3331" s="1" t="str">
        <f>"６２１　　　　　　　　　　　　　　　　　"</f>
        <v>６２１　　　　　　　　　　　　　　　　　</v>
      </c>
      <c r="L3331" s="1"/>
    </row>
    <row r="3332" spans="1:12" ht="18" customHeight="1" x14ac:dyDescent="0.15">
      <c r="A3332" s="11">
        <v>3535</v>
      </c>
      <c r="B3332" s="11" t="s">
        <v>54</v>
      </c>
      <c r="C3332" s="11" t="s">
        <v>187</v>
      </c>
      <c r="D3332" s="11">
        <v>1</v>
      </c>
      <c r="E3332" s="11" t="s">
        <v>4</v>
      </c>
      <c r="F3332" s="12">
        <v>85600</v>
      </c>
      <c r="G3332" s="12">
        <v>85600</v>
      </c>
      <c r="H3332" s="11" t="str">
        <f t="shared" si="106"/>
        <v>平成6年9月14日</v>
      </c>
      <c r="I3332" s="22">
        <f t="shared" si="107"/>
        <v>34591</v>
      </c>
      <c r="J3332" s="1" t="str">
        <f>"00743489"</f>
        <v>00743489</v>
      </c>
      <c r="K3332" s="1" t="str">
        <f>"６２２　　　　　　　　　　　　　　　　　"</f>
        <v>６２２　　　　　　　　　　　　　　　　　</v>
      </c>
      <c r="L3332" s="1"/>
    </row>
    <row r="3333" spans="1:12" ht="18" customHeight="1" x14ac:dyDescent="0.15">
      <c r="A3333" s="11">
        <v>3536</v>
      </c>
      <c r="B3333" s="11" t="s">
        <v>54</v>
      </c>
      <c r="C3333" s="11" t="s">
        <v>187</v>
      </c>
      <c r="D3333" s="11">
        <v>1</v>
      </c>
      <c r="E3333" s="11" t="s">
        <v>4</v>
      </c>
      <c r="F3333" s="12">
        <v>85600</v>
      </c>
      <c r="G3333" s="12">
        <v>85600</v>
      </c>
      <c r="H3333" s="11" t="str">
        <f t="shared" si="106"/>
        <v>平成6年9月14日</v>
      </c>
      <c r="I3333" s="22">
        <f t="shared" si="107"/>
        <v>34591</v>
      </c>
      <c r="J3333" s="1" t="str">
        <f>"00743491"</f>
        <v>00743491</v>
      </c>
      <c r="K3333" s="1" t="str">
        <f>"６２３　　　　　　　　　　　　　　　　　"</f>
        <v>６２３　　　　　　　　　　　　　　　　　</v>
      </c>
      <c r="L3333" s="1"/>
    </row>
    <row r="3334" spans="1:12" ht="18" customHeight="1" x14ac:dyDescent="0.15">
      <c r="A3334" s="11">
        <v>3537</v>
      </c>
      <c r="B3334" s="11" t="s">
        <v>54</v>
      </c>
      <c r="C3334" s="11" t="s">
        <v>187</v>
      </c>
      <c r="D3334" s="11">
        <v>1</v>
      </c>
      <c r="E3334" s="11" t="s">
        <v>4</v>
      </c>
      <c r="F3334" s="12">
        <v>85600</v>
      </c>
      <c r="G3334" s="12">
        <v>85600</v>
      </c>
      <c r="H3334" s="11" t="str">
        <f t="shared" si="106"/>
        <v>平成6年9月14日</v>
      </c>
      <c r="I3334" s="22">
        <f t="shared" si="107"/>
        <v>34591</v>
      </c>
      <c r="J3334" s="1" t="str">
        <f>"00743493"</f>
        <v>00743493</v>
      </c>
      <c r="K3334" s="1" t="str">
        <f>"６２４　　　　　　　　　　　　　　　　　"</f>
        <v>６２４　　　　　　　　　　　　　　　　　</v>
      </c>
      <c r="L3334" s="1"/>
    </row>
    <row r="3335" spans="1:12" ht="18" customHeight="1" x14ac:dyDescent="0.15">
      <c r="A3335" s="11">
        <v>3538</v>
      </c>
      <c r="B3335" s="11" t="s">
        <v>54</v>
      </c>
      <c r="C3335" s="11" t="s">
        <v>187</v>
      </c>
      <c r="D3335" s="11">
        <v>1</v>
      </c>
      <c r="E3335" s="11" t="s">
        <v>4</v>
      </c>
      <c r="F3335" s="12">
        <v>85600</v>
      </c>
      <c r="G3335" s="12">
        <v>85600</v>
      </c>
      <c r="H3335" s="11" t="str">
        <f t="shared" si="106"/>
        <v>平成6年9月14日</v>
      </c>
      <c r="I3335" s="22">
        <f t="shared" si="107"/>
        <v>34591</v>
      </c>
      <c r="J3335" s="1" t="str">
        <f>"00743495"</f>
        <v>00743495</v>
      </c>
      <c r="K3335" s="1" t="str">
        <f>"６２５　　　　　　　　　　　　　　　　　"</f>
        <v>６２５　　　　　　　　　　　　　　　　　</v>
      </c>
      <c r="L3335" s="1"/>
    </row>
    <row r="3336" spans="1:12" ht="18" customHeight="1" x14ac:dyDescent="0.15">
      <c r="A3336" s="11">
        <v>3539</v>
      </c>
      <c r="B3336" s="11" t="s">
        <v>54</v>
      </c>
      <c r="C3336" s="11" t="s">
        <v>187</v>
      </c>
      <c r="D3336" s="11">
        <v>1</v>
      </c>
      <c r="E3336" s="11" t="s">
        <v>4</v>
      </c>
      <c r="F3336" s="12">
        <v>85600</v>
      </c>
      <c r="G3336" s="12">
        <v>85600</v>
      </c>
      <c r="H3336" s="11" t="str">
        <f t="shared" si="106"/>
        <v>平成6年9月14日</v>
      </c>
      <c r="I3336" s="22">
        <f t="shared" si="107"/>
        <v>34591</v>
      </c>
      <c r="J3336" s="1" t="str">
        <f>"00743497"</f>
        <v>00743497</v>
      </c>
      <c r="K3336" s="1" t="str">
        <f>"６２６　　　　　　　　　　　　　　　　　"</f>
        <v>６２６　　　　　　　　　　　　　　　　　</v>
      </c>
      <c r="L3336" s="1"/>
    </row>
    <row r="3337" spans="1:12" ht="18" customHeight="1" x14ac:dyDescent="0.15">
      <c r="A3337" s="11">
        <v>3540</v>
      </c>
      <c r="B3337" s="11" t="s">
        <v>54</v>
      </c>
      <c r="C3337" s="11" t="s">
        <v>187</v>
      </c>
      <c r="D3337" s="11">
        <v>1</v>
      </c>
      <c r="E3337" s="11" t="s">
        <v>4</v>
      </c>
      <c r="F3337" s="12">
        <v>85600</v>
      </c>
      <c r="G3337" s="12">
        <v>85600</v>
      </c>
      <c r="H3337" s="11" t="str">
        <f t="shared" si="106"/>
        <v>平成6年9月14日</v>
      </c>
      <c r="I3337" s="22">
        <f t="shared" si="107"/>
        <v>34591</v>
      </c>
      <c r="J3337" s="1" t="str">
        <f>"00743499"</f>
        <v>00743499</v>
      </c>
      <c r="K3337" s="1" t="str">
        <f>"６２７　　　　　　　　　　　　　　　　　"</f>
        <v>６２７　　　　　　　　　　　　　　　　　</v>
      </c>
      <c r="L3337" s="1"/>
    </row>
    <row r="3338" spans="1:12" ht="18" customHeight="1" x14ac:dyDescent="0.15">
      <c r="A3338" s="11">
        <v>3541</v>
      </c>
      <c r="B3338" s="11" t="s">
        <v>54</v>
      </c>
      <c r="C3338" s="11" t="s">
        <v>187</v>
      </c>
      <c r="D3338" s="11">
        <v>1</v>
      </c>
      <c r="E3338" s="11" t="s">
        <v>4</v>
      </c>
      <c r="F3338" s="12">
        <v>85600</v>
      </c>
      <c r="G3338" s="12">
        <v>85600</v>
      </c>
      <c r="H3338" s="11" t="str">
        <f t="shared" si="106"/>
        <v>平成6年9月14日</v>
      </c>
      <c r="I3338" s="22">
        <f t="shared" si="107"/>
        <v>34591</v>
      </c>
      <c r="J3338" s="1" t="str">
        <f>"00743501"</f>
        <v>00743501</v>
      </c>
      <c r="K3338" s="1" t="str">
        <f>"６２８　　　　　　　　　　　　　　　　　"</f>
        <v>６２８　　　　　　　　　　　　　　　　　</v>
      </c>
      <c r="L3338" s="1"/>
    </row>
    <row r="3339" spans="1:12" ht="18" customHeight="1" x14ac:dyDescent="0.15">
      <c r="A3339" s="11">
        <v>3542</v>
      </c>
      <c r="B3339" s="11" t="s">
        <v>54</v>
      </c>
      <c r="C3339" s="11" t="s">
        <v>187</v>
      </c>
      <c r="D3339" s="11">
        <v>1</v>
      </c>
      <c r="E3339" s="11" t="s">
        <v>4</v>
      </c>
      <c r="F3339" s="12">
        <v>85600</v>
      </c>
      <c r="G3339" s="12">
        <v>85600</v>
      </c>
      <c r="H3339" s="11" t="str">
        <f t="shared" si="106"/>
        <v>平成6年9月14日</v>
      </c>
      <c r="I3339" s="22">
        <f t="shared" si="107"/>
        <v>34591</v>
      </c>
      <c r="J3339" s="1" t="str">
        <f>"00743503"</f>
        <v>00743503</v>
      </c>
      <c r="K3339" s="1" t="str">
        <f>"６２９　　　　　　　　　　　　　　　　　"</f>
        <v>６２９　　　　　　　　　　　　　　　　　</v>
      </c>
      <c r="L3339" s="1"/>
    </row>
    <row r="3340" spans="1:12" ht="18" customHeight="1" x14ac:dyDescent="0.15">
      <c r="A3340" s="11">
        <v>3543</v>
      </c>
      <c r="B3340" s="11" t="s">
        <v>54</v>
      </c>
      <c r="C3340" s="11" t="s">
        <v>187</v>
      </c>
      <c r="D3340" s="11">
        <v>1</v>
      </c>
      <c r="E3340" s="11" t="s">
        <v>4</v>
      </c>
      <c r="F3340" s="12">
        <v>85600</v>
      </c>
      <c r="G3340" s="12">
        <v>85600</v>
      </c>
      <c r="H3340" s="11" t="str">
        <f t="shared" si="106"/>
        <v>平成6年9月14日</v>
      </c>
      <c r="I3340" s="22">
        <f t="shared" si="107"/>
        <v>34591</v>
      </c>
      <c r="J3340" s="1" t="str">
        <f>"00743505"</f>
        <v>00743505</v>
      </c>
      <c r="K3340" s="1" t="str">
        <f>"６３０　　　　　　　　　　　　　　　　　"</f>
        <v>６３０　　　　　　　　　　　　　　　　　</v>
      </c>
      <c r="L3340" s="1"/>
    </row>
    <row r="3341" spans="1:12" ht="18" customHeight="1" x14ac:dyDescent="0.15">
      <c r="A3341" s="11">
        <v>3544</v>
      </c>
      <c r="B3341" s="11" t="s">
        <v>54</v>
      </c>
      <c r="C3341" s="11" t="s">
        <v>187</v>
      </c>
      <c r="D3341" s="11">
        <v>1</v>
      </c>
      <c r="E3341" s="11" t="s">
        <v>4</v>
      </c>
      <c r="F3341" s="12">
        <v>85600</v>
      </c>
      <c r="G3341" s="12">
        <v>85600</v>
      </c>
      <c r="H3341" s="11" t="str">
        <f t="shared" si="106"/>
        <v>平成6年9月14日</v>
      </c>
      <c r="I3341" s="22">
        <f t="shared" si="107"/>
        <v>34591</v>
      </c>
      <c r="J3341" s="1" t="str">
        <f>"00743507"</f>
        <v>00743507</v>
      </c>
      <c r="K3341" s="1" t="str">
        <f>"６３１　　　　　　　　　　　　　　　　　"</f>
        <v>６３１　　　　　　　　　　　　　　　　　</v>
      </c>
      <c r="L3341" s="1"/>
    </row>
    <row r="3342" spans="1:12" ht="18" customHeight="1" x14ac:dyDescent="0.15">
      <c r="A3342" s="11">
        <v>3545</v>
      </c>
      <c r="B3342" s="11" t="s">
        <v>54</v>
      </c>
      <c r="C3342" s="11" t="s">
        <v>187</v>
      </c>
      <c r="D3342" s="11">
        <v>1</v>
      </c>
      <c r="E3342" s="11" t="s">
        <v>4</v>
      </c>
      <c r="F3342" s="12">
        <v>85600</v>
      </c>
      <c r="G3342" s="12">
        <v>85600</v>
      </c>
      <c r="H3342" s="11" t="str">
        <f t="shared" si="106"/>
        <v>平成6年9月14日</v>
      </c>
      <c r="I3342" s="22">
        <f t="shared" si="107"/>
        <v>34591</v>
      </c>
      <c r="J3342" s="1" t="str">
        <f>"00743509"</f>
        <v>00743509</v>
      </c>
      <c r="K3342" s="1" t="str">
        <f>"６３２　　　　　　　　　　　　　　　　　"</f>
        <v>６３２　　　　　　　　　　　　　　　　　</v>
      </c>
      <c r="L3342" s="1"/>
    </row>
    <row r="3343" spans="1:12" ht="18" customHeight="1" x14ac:dyDescent="0.15">
      <c r="A3343" s="11">
        <v>3546</v>
      </c>
      <c r="B3343" s="11" t="s">
        <v>54</v>
      </c>
      <c r="C3343" s="11" t="s">
        <v>187</v>
      </c>
      <c r="D3343" s="11">
        <v>1</v>
      </c>
      <c r="E3343" s="11" t="s">
        <v>4</v>
      </c>
      <c r="F3343" s="12">
        <v>85600</v>
      </c>
      <c r="G3343" s="12">
        <v>85600</v>
      </c>
      <c r="H3343" s="11" t="str">
        <f t="shared" ref="H3343:H3406" si="108">"平成6年9月14日"</f>
        <v>平成6年9月14日</v>
      </c>
      <c r="I3343" s="22">
        <f t="shared" si="107"/>
        <v>34591</v>
      </c>
      <c r="J3343" s="1" t="str">
        <f>"00743511"</f>
        <v>00743511</v>
      </c>
      <c r="K3343" s="1" t="str">
        <f>"６３３　　　　　　　　　　　　　　　　　"</f>
        <v>６３３　　　　　　　　　　　　　　　　　</v>
      </c>
      <c r="L3343" s="1"/>
    </row>
    <row r="3344" spans="1:12" ht="18" customHeight="1" x14ac:dyDescent="0.15">
      <c r="A3344" s="11">
        <v>3547</v>
      </c>
      <c r="B3344" s="11" t="s">
        <v>54</v>
      </c>
      <c r="C3344" s="11" t="s">
        <v>187</v>
      </c>
      <c r="D3344" s="11">
        <v>1</v>
      </c>
      <c r="E3344" s="11" t="s">
        <v>4</v>
      </c>
      <c r="F3344" s="12">
        <v>85600</v>
      </c>
      <c r="G3344" s="12">
        <v>85600</v>
      </c>
      <c r="H3344" s="11" t="str">
        <f t="shared" si="108"/>
        <v>平成6年9月14日</v>
      </c>
      <c r="I3344" s="22">
        <f t="shared" si="107"/>
        <v>34591</v>
      </c>
      <c r="J3344" s="1" t="str">
        <f>"00743513"</f>
        <v>00743513</v>
      </c>
      <c r="K3344" s="1" t="str">
        <f>"６３４　　　　　　　　　　　　　　　　　"</f>
        <v>６３４　　　　　　　　　　　　　　　　　</v>
      </c>
      <c r="L3344" s="1"/>
    </row>
    <row r="3345" spans="1:12" ht="18" customHeight="1" x14ac:dyDescent="0.15">
      <c r="A3345" s="11">
        <v>3548</v>
      </c>
      <c r="B3345" s="11" t="s">
        <v>54</v>
      </c>
      <c r="C3345" s="11" t="s">
        <v>187</v>
      </c>
      <c r="D3345" s="11">
        <v>1</v>
      </c>
      <c r="E3345" s="11" t="s">
        <v>4</v>
      </c>
      <c r="F3345" s="12">
        <v>85600</v>
      </c>
      <c r="G3345" s="12">
        <v>85600</v>
      </c>
      <c r="H3345" s="11" t="str">
        <f t="shared" si="108"/>
        <v>平成6年9月14日</v>
      </c>
      <c r="I3345" s="22">
        <f t="shared" si="107"/>
        <v>34591</v>
      </c>
      <c r="J3345" s="1" t="str">
        <f>"00743515"</f>
        <v>00743515</v>
      </c>
      <c r="K3345" s="1" t="str">
        <f>"６３５　　　　　　　　　　　　　　　　　"</f>
        <v>６３５　　　　　　　　　　　　　　　　　</v>
      </c>
      <c r="L3345" s="1"/>
    </row>
    <row r="3346" spans="1:12" ht="18" customHeight="1" x14ac:dyDescent="0.15">
      <c r="A3346" s="11">
        <v>3549</v>
      </c>
      <c r="B3346" s="11" t="s">
        <v>54</v>
      </c>
      <c r="C3346" s="11" t="s">
        <v>187</v>
      </c>
      <c r="D3346" s="11">
        <v>1</v>
      </c>
      <c r="E3346" s="11" t="s">
        <v>4</v>
      </c>
      <c r="F3346" s="12">
        <v>85600</v>
      </c>
      <c r="G3346" s="12">
        <v>85600</v>
      </c>
      <c r="H3346" s="11" t="str">
        <f t="shared" si="108"/>
        <v>平成6年9月14日</v>
      </c>
      <c r="I3346" s="22">
        <f t="shared" ref="I3346:I3409" si="109">DATEVALUE(H3346)</f>
        <v>34591</v>
      </c>
      <c r="J3346" s="1" t="str">
        <f>"00743517"</f>
        <v>00743517</v>
      </c>
      <c r="K3346" s="1" t="str">
        <f>"６３６　　　　　　　　　　　　　　　　　"</f>
        <v>６３６　　　　　　　　　　　　　　　　　</v>
      </c>
      <c r="L3346" s="1"/>
    </row>
    <row r="3347" spans="1:12" ht="18" customHeight="1" x14ac:dyDescent="0.15">
      <c r="A3347" s="11">
        <v>3550</v>
      </c>
      <c r="B3347" s="11" t="s">
        <v>54</v>
      </c>
      <c r="C3347" s="11" t="s">
        <v>187</v>
      </c>
      <c r="D3347" s="11">
        <v>1</v>
      </c>
      <c r="E3347" s="11" t="s">
        <v>4</v>
      </c>
      <c r="F3347" s="12">
        <v>85600</v>
      </c>
      <c r="G3347" s="12">
        <v>85600</v>
      </c>
      <c r="H3347" s="11" t="str">
        <f t="shared" si="108"/>
        <v>平成6年9月14日</v>
      </c>
      <c r="I3347" s="22">
        <f t="shared" si="109"/>
        <v>34591</v>
      </c>
      <c r="J3347" s="1" t="str">
        <f>"00743519"</f>
        <v>00743519</v>
      </c>
      <c r="K3347" s="1" t="str">
        <f>"６３７　　　　　　　　　　　　　　　　　"</f>
        <v>６３７　　　　　　　　　　　　　　　　　</v>
      </c>
      <c r="L3347" s="1"/>
    </row>
    <row r="3348" spans="1:12" ht="18" customHeight="1" x14ac:dyDescent="0.15">
      <c r="A3348" s="11">
        <v>3551</v>
      </c>
      <c r="B3348" s="11" t="s">
        <v>54</v>
      </c>
      <c r="C3348" s="11" t="s">
        <v>187</v>
      </c>
      <c r="D3348" s="11">
        <v>1</v>
      </c>
      <c r="E3348" s="11" t="s">
        <v>4</v>
      </c>
      <c r="F3348" s="12">
        <v>85600</v>
      </c>
      <c r="G3348" s="12">
        <v>85600</v>
      </c>
      <c r="H3348" s="11" t="str">
        <f t="shared" si="108"/>
        <v>平成6年9月14日</v>
      </c>
      <c r="I3348" s="22">
        <f t="shared" si="109"/>
        <v>34591</v>
      </c>
      <c r="J3348" s="1" t="str">
        <f>"00743521"</f>
        <v>00743521</v>
      </c>
      <c r="K3348" s="1" t="str">
        <f>"６３８　　　　　　　　　　　　　　　　　"</f>
        <v>６３８　　　　　　　　　　　　　　　　　</v>
      </c>
      <c r="L3348" s="1"/>
    </row>
    <row r="3349" spans="1:12" ht="18" customHeight="1" x14ac:dyDescent="0.15">
      <c r="A3349" s="11">
        <v>3552</v>
      </c>
      <c r="B3349" s="11" t="s">
        <v>54</v>
      </c>
      <c r="C3349" s="11" t="s">
        <v>187</v>
      </c>
      <c r="D3349" s="11">
        <v>1</v>
      </c>
      <c r="E3349" s="11" t="s">
        <v>4</v>
      </c>
      <c r="F3349" s="12">
        <v>85600</v>
      </c>
      <c r="G3349" s="12">
        <v>85600</v>
      </c>
      <c r="H3349" s="11" t="str">
        <f t="shared" si="108"/>
        <v>平成6年9月14日</v>
      </c>
      <c r="I3349" s="22">
        <f t="shared" si="109"/>
        <v>34591</v>
      </c>
      <c r="J3349" s="1" t="str">
        <f>"00743523"</f>
        <v>00743523</v>
      </c>
      <c r="K3349" s="1" t="str">
        <f>"６３９　　　　　　　　　　　　　　　　　"</f>
        <v>６３９　　　　　　　　　　　　　　　　　</v>
      </c>
      <c r="L3349" s="1"/>
    </row>
    <row r="3350" spans="1:12" ht="18" customHeight="1" x14ac:dyDescent="0.15">
      <c r="A3350" s="11">
        <v>3553</v>
      </c>
      <c r="B3350" s="11" t="s">
        <v>54</v>
      </c>
      <c r="C3350" s="11" t="s">
        <v>187</v>
      </c>
      <c r="D3350" s="11">
        <v>1</v>
      </c>
      <c r="E3350" s="11" t="s">
        <v>4</v>
      </c>
      <c r="F3350" s="12">
        <v>85600</v>
      </c>
      <c r="G3350" s="12">
        <v>85600</v>
      </c>
      <c r="H3350" s="11" t="str">
        <f t="shared" si="108"/>
        <v>平成6年9月14日</v>
      </c>
      <c r="I3350" s="22">
        <f t="shared" si="109"/>
        <v>34591</v>
      </c>
      <c r="J3350" s="1" t="str">
        <f>"00743525"</f>
        <v>00743525</v>
      </c>
      <c r="K3350" s="1" t="str">
        <f>"６４０　　　　　　　　　　　　　　　　　"</f>
        <v>６４０　　　　　　　　　　　　　　　　　</v>
      </c>
      <c r="L3350" s="1"/>
    </row>
    <row r="3351" spans="1:12" ht="18" customHeight="1" x14ac:dyDescent="0.15">
      <c r="A3351" s="11">
        <v>3554</v>
      </c>
      <c r="B3351" s="11" t="s">
        <v>54</v>
      </c>
      <c r="C3351" s="11" t="s">
        <v>187</v>
      </c>
      <c r="D3351" s="11">
        <v>1</v>
      </c>
      <c r="E3351" s="11" t="s">
        <v>4</v>
      </c>
      <c r="F3351" s="12">
        <v>85600</v>
      </c>
      <c r="G3351" s="12">
        <v>85600</v>
      </c>
      <c r="H3351" s="11" t="str">
        <f t="shared" si="108"/>
        <v>平成6年9月14日</v>
      </c>
      <c r="I3351" s="22">
        <f t="shared" si="109"/>
        <v>34591</v>
      </c>
      <c r="J3351" s="1" t="str">
        <f>"00743527"</f>
        <v>00743527</v>
      </c>
      <c r="K3351" s="1" t="str">
        <f>"６４１　　　　　　　　　　　　　　　　　"</f>
        <v>６４１　　　　　　　　　　　　　　　　　</v>
      </c>
      <c r="L3351" s="1"/>
    </row>
    <row r="3352" spans="1:12" ht="18" customHeight="1" x14ac:dyDescent="0.15">
      <c r="A3352" s="11">
        <v>3555</v>
      </c>
      <c r="B3352" s="11" t="s">
        <v>54</v>
      </c>
      <c r="C3352" s="11" t="s">
        <v>187</v>
      </c>
      <c r="D3352" s="11">
        <v>1</v>
      </c>
      <c r="E3352" s="11" t="s">
        <v>4</v>
      </c>
      <c r="F3352" s="12">
        <v>85600</v>
      </c>
      <c r="G3352" s="12">
        <v>85600</v>
      </c>
      <c r="H3352" s="11" t="str">
        <f t="shared" si="108"/>
        <v>平成6年9月14日</v>
      </c>
      <c r="I3352" s="22">
        <f t="shared" si="109"/>
        <v>34591</v>
      </c>
      <c r="J3352" s="1" t="str">
        <f>"00743529"</f>
        <v>00743529</v>
      </c>
      <c r="K3352" s="1" t="str">
        <f>"６４２　　　　　　　　　　　　　　　　　"</f>
        <v>６４２　　　　　　　　　　　　　　　　　</v>
      </c>
      <c r="L3352" s="1"/>
    </row>
    <row r="3353" spans="1:12" ht="18" customHeight="1" x14ac:dyDescent="0.15">
      <c r="A3353" s="11">
        <v>3556</v>
      </c>
      <c r="B3353" s="11" t="s">
        <v>54</v>
      </c>
      <c r="C3353" s="11" t="s">
        <v>187</v>
      </c>
      <c r="D3353" s="11">
        <v>1</v>
      </c>
      <c r="E3353" s="11" t="s">
        <v>4</v>
      </c>
      <c r="F3353" s="12">
        <v>85600</v>
      </c>
      <c r="G3353" s="12">
        <v>85600</v>
      </c>
      <c r="H3353" s="11" t="str">
        <f t="shared" si="108"/>
        <v>平成6年9月14日</v>
      </c>
      <c r="I3353" s="22">
        <f t="shared" si="109"/>
        <v>34591</v>
      </c>
      <c r="J3353" s="1" t="str">
        <f>"00743531"</f>
        <v>00743531</v>
      </c>
      <c r="K3353" s="1" t="str">
        <f>"６４３　　　　　　　　　　　　　　　　　"</f>
        <v>６４３　　　　　　　　　　　　　　　　　</v>
      </c>
      <c r="L3353" s="1"/>
    </row>
    <row r="3354" spans="1:12" ht="18" customHeight="1" x14ac:dyDescent="0.15">
      <c r="A3354" s="11">
        <v>3557</v>
      </c>
      <c r="B3354" s="11" t="s">
        <v>54</v>
      </c>
      <c r="C3354" s="11" t="s">
        <v>187</v>
      </c>
      <c r="D3354" s="11">
        <v>1</v>
      </c>
      <c r="E3354" s="11" t="s">
        <v>4</v>
      </c>
      <c r="F3354" s="12">
        <v>85600</v>
      </c>
      <c r="G3354" s="12">
        <v>85600</v>
      </c>
      <c r="H3354" s="11" t="str">
        <f t="shared" si="108"/>
        <v>平成6年9月14日</v>
      </c>
      <c r="I3354" s="22">
        <f t="shared" si="109"/>
        <v>34591</v>
      </c>
      <c r="J3354" s="1" t="str">
        <f>"00743533"</f>
        <v>00743533</v>
      </c>
      <c r="K3354" s="1" t="str">
        <f>"６４４　　　　　　　　　　　　　　　　　"</f>
        <v>６４４　　　　　　　　　　　　　　　　　</v>
      </c>
      <c r="L3354" s="1"/>
    </row>
    <row r="3355" spans="1:12" ht="18" customHeight="1" x14ac:dyDescent="0.15">
      <c r="A3355" s="11">
        <v>3558</v>
      </c>
      <c r="B3355" s="11" t="s">
        <v>54</v>
      </c>
      <c r="C3355" s="11" t="s">
        <v>187</v>
      </c>
      <c r="D3355" s="11">
        <v>1</v>
      </c>
      <c r="E3355" s="11" t="s">
        <v>4</v>
      </c>
      <c r="F3355" s="12">
        <v>85600</v>
      </c>
      <c r="G3355" s="12">
        <v>85600</v>
      </c>
      <c r="H3355" s="11" t="str">
        <f t="shared" si="108"/>
        <v>平成6年9月14日</v>
      </c>
      <c r="I3355" s="22">
        <f t="shared" si="109"/>
        <v>34591</v>
      </c>
      <c r="J3355" s="1" t="str">
        <f>"00743535"</f>
        <v>00743535</v>
      </c>
      <c r="K3355" s="1" t="str">
        <f>"６４５　　　　　　　　　　　　　　　　　"</f>
        <v>６４５　　　　　　　　　　　　　　　　　</v>
      </c>
      <c r="L3355" s="1"/>
    </row>
    <row r="3356" spans="1:12" ht="18" customHeight="1" x14ac:dyDescent="0.15">
      <c r="A3356" s="11">
        <v>3559</v>
      </c>
      <c r="B3356" s="11" t="s">
        <v>54</v>
      </c>
      <c r="C3356" s="11" t="s">
        <v>187</v>
      </c>
      <c r="D3356" s="11">
        <v>1</v>
      </c>
      <c r="E3356" s="11" t="s">
        <v>4</v>
      </c>
      <c r="F3356" s="12">
        <v>85600</v>
      </c>
      <c r="G3356" s="12">
        <v>85600</v>
      </c>
      <c r="H3356" s="11" t="str">
        <f t="shared" si="108"/>
        <v>平成6年9月14日</v>
      </c>
      <c r="I3356" s="22">
        <f t="shared" si="109"/>
        <v>34591</v>
      </c>
      <c r="J3356" s="1" t="str">
        <f>"00743537"</f>
        <v>00743537</v>
      </c>
      <c r="K3356" s="1" t="str">
        <f>"６４６　　　　　　　　　　　　　　　　　"</f>
        <v>６４６　　　　　　　　　　　　　　　　　</v>
      </c>
      <c r="L3356" s="1"/>
    </row>
    <row r="3357" spans="1:12" ht="18" customHeight="1" x14ac:dyDescent="0.15">
      <c r="A3357" s="11">
        <v>3560</v>
      </c>
      <c r="B3357" s="11" t="s">
        <v>54</v>
      </c>
      <c r="C3357" s="11" t="s">
        <v>187</v>
      </c>
      <c r="D3357" s="11">
        <v>1</v>
      </c>
      <c r="E3357" s="11" t="s">
        <v>4</v>
      </c>
      <c r="F3357" s="12">
        <v>85600</v>
      </c>
      <c r="G3357" s="12">
        <v>85600</v>
      </c>
      <c r="H3357" s="11" t="str">
        <f t="shared" si="108"/>
        <v>平成6年9月14日</v>
      </c>
      <c r="I3357" s="22">
        <f t="shared" si="109"/>
        <v>34591</v>
      </c>
      <c r="J3357" s="1" t="str">
        <f>"00743539"</f>
        <v>00743539</v>
      </c>
      <c r="K3357" s="1" t="str">
        <f>"６４７　　　　　　　　　　　　　　　　　"</f>
        <v>６４７　　　　　　　　　　　　　　　　　</v>
      </c>
      <c r="L3357" s="1"/>
    </row>
    <row r="3358" spans="1:12" ht="18" customHeight="1" x14ac:dyDescent="0.15">
      <c r="A3358" s="11">
        <v>3561</v>
      </c>
      <c r="B3358" s="11" t="s">
        <v>54</v>
      </c>
      <c r="C3358" s="11" t="s">
        <v>187</v>
      </c>
      <c r="D3358" s="11">
        <v>1</v>
      </c>
      <c r="E3358" s="11" t="s">
        <v>4</v>
      </c>
      <c r="F3358" s="12">
        <v>85600</v>
      </c>
      <c r="G3358" s="12">
        <v>85600</v>
      </c>
      <c r="H3358" s="11" t="str">
        <f t="shared" si="108"/>
        <v>平成6年9月14日</v>
      </c>
      <c r="I3358" s="22">
        <f t="shared" si="109"/>
        <v>34591</v>
      </c>
      <c r="J3358" s="1" t="str">
        <f>"00743541"</f>
        <v>00743541</v>
      </c>
      <c r="K3358" s="1" t="str">
        <f>"６４８　　　　　　　　　　　　　　　　　"</f>
        <v>６４８　　　　　　　　　　　　　　　　　</v>
      </c>
      <c r="L3358" s="1"/>
    </row>
    <row r="3359" spans="1:12" ht="18" customHeight="1" x14ac:dyDescent="0.15">
      <c r="A3359" s="11">
        <v>3562</v>
      </c>
      <c r="B3359" s="11" t="s">
        <v>54</v>
      </c>
      <c r="C3359" s="11" t="s">
        <v>187</v>
      </c>
      <c r="D3359" s="11">
        <v>1</v>
      </c>
      <c r="E3359" s="11" t="s">
        <v>4</v>
      </c>
      <c r="F3359" s="12">
        <v>85600</v>
      </c>
      <c r="G3359" s="12">
        <v>85600</v>
      </c>
      <c r="H3359" s="11" t="str">
        <f t="shared" si="108"/>
        <v>平成6年9月14日</v>
      </c>
      <c r="I3359" s="22">
        <f t="shared" si="109"/>
        <v>34591</v>
      </c>
      <c r="J3359" s="1" t="str">
        <f>"00743543"</f>
        <v>00743543</v>
      </c>
      <c r="K3359" s="1" t="str">
        <f>"６４９　　　　　　　　　　　　　　　　　"</f>
        <v>６４９　　　　　　　　　　　　　　　　　</v>
      </c>
      <c r="L3359" s="1"/>
    </row>
    <row r="3360" spans="1:12" ht="18" customHeight="1" x14ac:dyDescent="0.15">
      <c r="A3360" s="11">
        <v>3563</v>
      </c>
      <c r="B3360" s="11" t="s">
        <v>54</v>
      </c>
      <c r="C3360" s="11" t="s">
        <v>187</v>
      </c>
      <c r="D3360" s="11">
        <v>1</v>
      </c>
      <c r="E3360" s="11" t="s">
        <v>4</v>
      </c>
      <c r="F3360" s="12">
        <v>85600</v>
      </c>
      <c r="G3360" s="12">
        <v>85600</v>
      </c>
      <c r="H3360" s="11" t="str">
        <f t="shared" si="108"/>
        <v>平成6年9月14日</v>
      </c>
      <c r="I3360" s="22">
        <f t="shared" si="109"/>
        <v>34591</v>
      </c>
      <c r="J3360" s="1" t="str">
        <f>"00743545"</f>
        <v>00743545</v>
      </c>
      <c r="K3360" s="1" t="str">
        <f>"６５０　　　　　　　　　　　　　　　　　"</f>
        <v>６５０　　　　　　　　　　　　　　　　　</v>
      </c>
      <c r="L3360" s="1"/>
    </row>
    <row r="3361" spans="1:12" ht="18" customHeight="1" x14ac:dyDescent="0.15">
      <c r="A3361" s="11">
        <v>3564</v>
      </c>
      <c r="B3361" s="11" t="s">
        <v>54</v>
      </c>
      <c r="C3361" s="11" t="s">
        <v>187</v>
      </c>
      <c r="D3361" s="11">
        <v>1</v>
      </c>
      <c r="E3361" s="11" t="s">
        <v>4</v>
      </c>
      <c r="F3361" s="12">
        <v>85600</v>
      </c>
      <c r="G3361" s="12">
        <v>85600</v>
      </c>
      <c r="H3361" s="11" t="str">
        <f t="shared" si="108"/>
        <v>平成6年9月14日</v>
      </c>
      <c r="I3361" s="22">
        <f t="shared" si="109"/>
        <v>34591</v>
      </c>
      <c r="J3361" s="1" t="str">
        <f>"00743547"</f>
        <v>00743547</v>
      </c>
      <c r="K3361" s="1" t="str">
        <f>"６５１　　　　　　　　　　　　　　　　　"</f>
        <v>６５１　　　　　　　　　　　　　　　　　</v>
      </c>
      <c r="L3361" s="1"/>
    </row>
    <row r="3362" spans="1:12" ht="18" customHeight="1" x14ac:dyDescent="0.15">
      <c r="A3362" s="11">
        <v>3565</v>
      </c>
      <c r="B3362" s="11" t="s">
        <v>54</v>
      </c>
      <c r="C3362" s="11" t="s">
        <v>187</v>
      </c>
      <c r="D3362" s="11">
        <v>1</v>
      </c>
      <c r="E3362" s="11" t="s">
        <v>4</v>
      </c>
      <c r="F3362" s="12">
        <v>85600</v>
      </c>
      <c r="G3362" s="12">
        <v>85600</v>
      </c>
      <c r="H3362" s="11" t="str">
        <f t="shared" si="108"/>
        <v>平成6年9月14日</v>
      </c>
      <c r="I3362" s="22">
        <f t="shared" si="109"/>
        <v>34591</v>
      </c>
      <c r="J3362" s="1" t="str">
        <f>"00743549"</f>
        <v>00743549</v>
      </c>
      <c r="K3362" s="1" t="str">
        <f>"６５２　　　　　　　　　　　　　　　　　"</f>
        <v>６５２　　　　　　　　　　　　　　　　　</v>
      </c>
      <c r="L3362" s="1"/>
    </row>
    <row r="3363" spans="1:12" ht="18" customHeight="1" x14ac:dyDescent="0.15">
      <c r="A3363" s="11">
        <v>3566</v>
      </c>
      <c r="B3363" s="11" t="s">
        <v>54</v>
      </c>
      <c r="C3363" s="11" t="s">
        <v>187</v>
      </c>
      <c r="D3363" s="11">
        <v>1</v>
      </c>
      <c r="E3363" s="11" t="s">
        <v>4</v>
      </c>
      <c r="F3363" s="12">
        <v>85600</v>
      </c>
      <c r="G3363" s="12">
        <v>85600</v>
      </c>
      <c r="H3363" s="11" t="str">
        <f t="shared" si="108"/>
        <v>平成6年9月14日</v>
      </c>
      <c r="I3363" s="22">
        <f t="shared" si="109"/>
        <v>34591</v>
      </c>
      <c r="J3363" s="1" t="str">
        <f>"00743551"</f>
        <v>00743551</v>
      </c>
      <c r="K3363" s="1" t="str">
        <f>"６５３　　　　　　　　　　　　　　　　　"</f>
        <v>６５３　　　　　　　　　　　　　　　　　</v>
      </c>
      <c r="L3363" s="1"/>
    </row>
    <row r="3364" spans="1:12" ht="18" customHeight="1" x14ac:dyDescent="0.15">
      <c r="A3364" s="11">
        <v>3567</v>
      </c>
      <c r="B3364" s="11" t="s">
        <v>54</v>
      </c>
      <c r="C3364" s="11" t="s">
        <v>187</v>
      </c>
      <c r="D3364" s="11">
        <v>1</v>
      </c>
      <c r="E3364" s="11" t="s">
        <v>4</v>
      </c>
      <c r="F3364" s="12">
        <v>85600</v>
      </c>
      <c r="G3364" s="12">
        <v>85600</v>
      </c>
      <c r="H3364" s="11" t="str">
        <f t="shared" si="108"/>
        <v>平成6年9月14日</v>
      </c>
      <c r="I3364" s="22">
        <f t="shared" si="109"/>
        <v>34591</v>
      </c>
      <c r="J3364" s="1" t="str">
        <f>"00743553"</f>
        <v>00743553</v>
      </c>
      <c r="K3364" s="1" t="str">
        <f>"６５４　　　　　　　　　　　　　　　　　"</f>
        <v>６５４　　　　　　　　　　　　　　　　　</v>
      </c>
      <c r="L3364" s="1"/>
    </row>
    <row r="3365" spans="1:12" ht="18" customHeight="1" x14ac:dyDescent="0.15">
      <c r="A3365" s="11">
        <v>3568</v>
      </c>
      <c r="B3365" s="11" t="s">
        <v>54</v>
      </c>
      <c r="C3365" s="11" t="s">
        <v>187</v>
      </c>
      <c r="D3365" s="11">
        <v>1</v>
      </c>
      <c r="E3365" s="11" t="s">
        <v>4</v>
      </c>
      <c r="F3365" s="12">
        <v>85600</v>
      </c>
      <c r="G3365" s="12">
        <v>85600</v>
      </c>
      <c r="H3365" s="11" t="str">
        <f t="shared" si="108"/>
        <v>平成6年9月14日</v>
      </c>
      <c r="I3365" s="22">
        <f t="shared" si="109"/>
        <v>34591</v>
      </c>
      <c r="J3365" s="1" t="str">
        <f>"00743555"</f>
        <v>00743555</v>
      </c>
      <c r="K3365" s="1" t="str">
        <f>"６５５　　　　　　　　　　　　　　　　　"</f>
        <v>６５５　　　　　　　　　　　　　　　　　</v>
      </c>
      <c r="L3365" s="1"/>
    </row>
    <row r="3366" spans="1:12" ht="18" customHeight="1" x14ac:dyDescent="0.15">
      <c r="A3366" s="11">
        <v>3569</v>
      </c>
      <c r="B3366" s="11" t="s">
        <v>54</v>
      </c>
      <c r="C3366" s="11" t="s">
        <v>188</v>
      </c>
      <c r="D3366" s="11">
        <v>1</v>
      </c>
      <c r="E3366" s="11" t="s">
        <v>4</v>
      </c>
      <c r="F3366" s="12">
        <v>57000</v>
      </c>
      <c r="G3366" s="12">
        <v>57000</v>
      </c>
      <c r="H3366" s="11" t="str">
        <f t="shared" si="108"/>
        <v>平成6年9月14日</v>
      </c>
      <c r="I3366" s="22">
        <f t="shared" si="109"/>
        <v>34591</v>
      </c>
      <c r="J3366" s="1" t="str">
        <f>"00743557"</f>
        <v>00743557</v>
      </c>
      <c r="K3366" s="1" t="str">
        <f>"６５６　　　　　　　　　　　　　　　　　"</f>
        <v>６５６　　　　　　　　　　　　　　　　　</v>
      </c>
      <c r="L3366" s="1"/>
    </row>
    <row r="3367" spans="1:12" ht="18" customHeight="1" x14ac:dyDescent="0.15">
      <c r="A3367" s="11">
        <v>3570</v>
      </c>
      <c r="B3367" s="11" t="s">
        <v>54</v>
      </c>
      <c r="C3367" s="11" t="s">
        <v>188</v>
      </c>
      <c r="D3367" s="11">
        <v>1</v>
      </c>
      <c r="E3367" s="11" t="s">
        <v>4</v>
      </c>
      <c r="F3367" s="12">
        <v>57000</v>
      </c>
      <c r="G3367" s="12">
        <v>57000</v>
      </c>
      <c r="H3367" s="11" t="str">
        <f t="shared" si="108"/>
        <v>平成6年9月14日</v>
      </c>
      <c r="I3367" s="22">
        <f t="shared" si="109"/>
        <v>34591</v>
      </c>
      <c r="J3367" s="1" t="str">
        <f>"00743559"</f>
        <v>00743559</v>
      </c>
      <c r="K3367" s="1" t="str">
        <f>"６５７　　　　　　　　　　　　　　　　　"</f>
        <v>６５７　　　　　　　　　　　　　　　　　</v>
      </c>
      <c r="L3367" s="1"/>
    </row>
    <row r="3368" spans="1:12" ht="18" customHeight="1" x14ac:dyDescent="0.15">
      <c r="A3368" s="11">
        <v>3571</v>
      </c>
      <c r="B3368" s="11" t="s">
        <v>54</v>
      </c>
      <c r="C3368" s="11" t="s">
        <v>188</v>
      </c>
      <c r="D3368" s="11">
        <v>1</v>
      </c>
      <c r="E3368" s="11" t="s">
        <v>4</v>
      </c>
      <c r="F3368" s="12">
        <v>57000</v>
      </c>
      <c r="G3368" s="12">
        <v>57000</v>
      </c>
      <c r="H3368" s="11" t="str">
        <f t="shared" si="108"/>
        <v>平成6年9月14日</v>
      </c>
      <c r="I3368" s="22">
        <f t="shared" si="109"/>
        <v>34591</v>
      </c>
      <c r="J3368" s="1" t="str">
        <f>"00743561"</f>
        <v>00743561</v>
      </c>
      <c r="K3368" s="1" t="str">
        <f>"６５８　　　　　　　　　　　　　　　　　"</f>
        <v>６５８　　　　　　　　　　　　　　　　　</v>
      </c>
      <c r="L3368" s="1"/>
    </row>
    <row r="3369" spans="1:12" ht="18" customHeight="1" x14ac:dyDescent="0.15">
      <c r="A3369" s="11">
        <v>3572</v>
      </c>
      <c r="B3369" s="11" t="s">
        <v>54</v>
      </c>
      <c r="C3369" s="11" t="s">
        <v>188</v>
      </c>
      <c r="D3369" s="11">
        <v>1</v>
      </c>
      <c r="E3369" s="11" t="s">
        <v>4</v>
      </c>
      <c r="F3369" s="12">
        <v>57000</v>
      </c>
      <c r="G3369" s="12">
        <v>57000</v>
      </c>
      <c r="H3369" s="11" t="str">
        <f t="shared" si="108"/>
        <v>平成6年9月14日</v>
      </c>
      <c r="I3369" s="22">
        <f t="shared" si="109"/>
        <v>34591</v>
      </c>
      <c r="J3369" s="1" t="str">
        <f>"00743563"</f>
        <v>00743563</v>
      </c>
      <c r="K3369" s="1" t="str">
        <f>"６５９　　　　　　　　　　　　　　　　　"</f>
        <v>６５９　　　　　　　　　　　　　　　　　</v>
      </c>
      <c r="L3369" s="1"/>
    </row>
    <row r="3370" spans="1:12" ht="18" customHeight="1" x14ac:dyDescent="0.15">
      <c r="A3370" s="11">
        <v>3573</v>
      </c>
      <c r="B3370" s="11" t="s">
        <v>54</v>
      </c>
      <c r="C3370" s="11" t="s">
        <v>188</v>
      </c>
      <c r="D3370" s="11">
        <v>1</v>
      </c>
      <c r="E3370" s="11" t="s">
        <v>4</v>
      </c>
      <c r="F3370" s="12">
        <v>57000</v>
      </c>
      <c r="G3370" s="12">
        <v>57000</v>
      </c>
      <c r="H3370" s="11" t="str">
        <f t="shared" si="108"/>
        <v>平成6年9月14日</v>
      </c>
      <c r="I3370" s="22">
        <f t="shared" si="109"/>
        <v>34591</v>
      </c>
      <c r="J3370" s="1" t="str">
        <f>"00743565"</f>
        <v>00743565</v>
      </c>
      <c r="K3370" s="1" t="str">
        <f>"６６０　　　　　　　　　　　　　　　　　"</f>
        <v>６６０　　　　　　　　　　　　　　　　　</v>
      </c>
      <c r="L3370" s="1"/>
    </row>
    <row r="3371" spans="1:12" ht="18" customHeight="1" x14ac:dyDescent="0.15">
      <c r="A3371" s="11">
        <v>3574</v>
      </c>
      <c r="B3371" s="11" t="s">
        <v>54</v>
      </c>
      <c r="C3371" s="11" t="s">
        <v>188</v>
      </c>
      <c r="D3371" s="11">
        <v>1</v>
      </c>
      <c r="E3371" s="11" t="s">
        <v>4</v>
      </c>
      <c r="F3371" s="12">
        <v>57000</v>
      </c>
      <c r="G3371" s="12">
        <v>57000</v>
      </c>
      <c r="H3371" s="11" t="str">
        <f t="shared" si="108"/>
        <v>平成6年9月14日</v>
      </c>
      <c r="I3371" s="22">
        <f t="shared" si="109"/>
        <v>34591</v>
      </c>
      <c r="J3371" s="1" t="str">
        <f>"00743567"</f>
        <v>00743567</v>
      </c>
      <c r="K3371" s="1" t="str">
        <f>"６６１　　　　　　　　　　　　　　　　　"</f>
        <v>６６１　　　　　　　　　　　　　　　　　</v>
      </c>
      <c r="L3371" s="1"/>
    </row>
    <row r="3372" spans="1:12" ht="18" customHeight="1" x14ac:dyDescent="0.15">
      <c r="A3372" s="11">
        <v>3575</v>
      </c>
      <c r="B3372" s="11" t="s">
        <v>54</v>
      </c>
      <c r="C3372" s="11" t="s">
        <v>188</v>
      </c>
      <c r="D3372" s="11">
        <v>1</v>
      </c>
      <c r="E3372" s="11" t="s">
        <v>4</v>
      </c>
      <c r="F3372" s="12">
        <v>57000</v>
      </c>
      <c r="G3372" s="12">
        <v>57000</v>
      </c>
      <c r="H3372" s="11" t="str">
        <f t="shared" si="108"/>
        <v>平成6年9月14日</v>
      </c>
      <c r="I3372" s="22">
        <f t="shared" si="109"/>
        <v>34591</v>
      </c>
      <c r="J3372" s="1" t="str">
        <f>"00743569"</f>
        <v>00743569</v>
      </c>
      <c r="K3372" s="1" t="str">
        <f>"６６２　　　　　　　　　　　　　　　　　"</f>
        <v>６６２　　　　　　　　　　　　　　　　　</v>
      </c>
      <c r="L3372" s="1"/>
    </row>
    <row r="3373" spans="1:12" ht="18" customHeight="1" x14ac:dyDescent="0.15">
      <c r="A3373" s="11">
        <v>3576</v>
      </c>
      <c r="B3373" s="11" t="s">
        <v>54</v>
      </c>
      <c r="C3373" s="11" t="s">
        <v>188</v>
      </c>
      <c r="D3373" s="11">
        <v>1</v>
      </c>
      <c r="E3373" s="11" t="s">
        <v>4</v>
      </c>
      <c r="F3373" s="12">
        <v>57000</v>
      </c>
      <c r="G3373" s="12">
        <v>57000</v>
      </c>
      <c r="H3373" s="11" t="str">
        <f t="shared" si="108"/>
        <v>平成6年9月14日</v>
      </c>
      <c r="I3373" s="22">
        <f t="shared" si="109"/>
        <v>34591</v>
      </c>
      <c r="J3373" s="1" t="str">
        <f>"00743571"</f>
        <v>00743571</v>
      </c>
      <c r="K3373" s="1" t="str">
        <f>"６６３　　　　　　　　　　　　　　　　　"</f>
        <v>６６３　　　　　　　　　　　　　　　　　</v>
      </c>
      <c r="L3373" s="1"/>
    </row>
    <row r="3374" spans="1:12" ht="18" customHeight="1" x14ac:dyDescent="0.15">
      <c r="A3374" s="11">
        <v>3577</v>
      </c>
      <c r="B3374" s="11" t="s">
        <v>54</v>
      </c>
      <c r="C3374" s="11" t="s">
        <v>188</v>
      </c>
      <c r="D3374" s="11">
        <v>1</v>
      </c>
      <c r="E3374" s="11" t="s">
        <v>4</v>
      </c>
      <c r="F3374" s="12">
        <v>57000</v>
      </c>
      <c r="G3374" s="12">
        <v>57000</v>
      </c>
      <c r="H3374" s="11" t="str">
        <f t="shared" si="108"/>
        <v>平成6年9月14日</v>
      </c>
      <c r="I3374" s="22">
        <f t="shared" si="109"/>
        <v>34591</v>
      </c>
      <c r="J3374" s="1" t="str">
        <f>"00743573"</f>
        <v>00743573</v>
      </c>
      <c r="K3374" s="1" t="str">
        <f>"６６４　　　　　　　　　　　　　　　　　"</f>
        <v>６６４　　　　　　　　　　　　　　　　　</v>
      </c>
      <c r="L3374" s="1"/>
    </row>
    <row r="3375" spans="1:12" ht="18" customHeight="1" x14ac:dyDescent="0.15">
      <c r="A3375" s="11">
        <v>3578</v>
      </c>
      <c r="B3375" s="11" t="s">
        <v>54</v>
      </c>
      <c r="C3375" s="11" t="s">
        <v>188</v>
      </c>
      <c r="D3375" s="11">
        <v>1</v>
      </c>
      <c r="E3375" s="11" t="s">
        <v>4</v>
      </c>
      <c r="F3375" s="12">
        <v>57000</v>
      </c>
      <c r="G3375" s="12">
        <v>57000</v>
      </c>
      <c r="H3375" s="11" t="str">
        <f t="shared" si="108"/>
        <v>平成6年9月14日</v>
      </c>
      <c r="I3375" s="22">
        <f t="shared" si="109"/>
        <v>34591</v>
      </c>
      <c r="J3375" s="1" t="str">
        <f>"00743575"</f>
        <v>00743575</v>
      </c>
      <c r="K3375" s="1" t="str">
        <f>"６６５　　　　　　　　　　　　　　　　　"</f>
        <v>６６５　　　　　　　　　　　　　　　　　</v>
      </c>
      <c r="L3375" s="1"/>
    </row>
    <row r="3376" spans="1:12" ht="18" customHeight="1" x14ac:dyDescent="0.15">
      <c r="A3376" s="11">
        <v>3579</v>
      </c>
      <c r="B3376" s="11" t="s">
        <v>54</v>
      </c>
      <c r="C3376" s="11" t="s">
        <v>188</v>
      </c>
      <c r="D3376" s="11">
        <v>1</v>
      </c>
      <c r="E3376" s="11" t="s">
        <v>4</v>
      </c>
      <c r="F3376" s="12">
        <v>57000</v>
      </c>
      <c r="G3376" s="12">
        <v>57000</v>
      </c>
      <c r="H3376" s="11" t="str">
        <f t="shared" si="108"/>
        <v>平成6年9月14日</v>
      </c>
      <c r="I3376" s="22">
        <f t="shared" si="109"/>
        <v>34591</v>
      </c>
      <c r="J3376" s="1" t="str">
        <f>"00743577"</f>
        <v>00743577</v>
      </c>
      <c r="K3376" s="1" t="str">
        <f>"６６６　　　　　　　　　　　　　　　　　"</f>
        <v>６６６　　　　　　　　　　　　　　　　　</v>
      </c>
      <c r="L3376" s="1"/>
    </row>
    <row r="3377" spans="1:12" ht="18" customHeight="1" x14ac:dyDescent="0.15">
      <c r="A3377" s="11">
        <v>3580</v>
      </c>
      <c r="B3377" s="11" t="s">
        <v>54</v>
      </c>
      <c r="C3377" s="11" t="s">
        <v>188</v>
      </c>
      <c r="D3377" s="11">
        <v>1</v>
      </c>
      <c r="E3377" s="11" t="s">
        <v>4</v>
      </c>
      <c r="F3377" s="12">
        <v>57000</v>
      </c>
      <c r="G3377" s="12">
        <v>57000</v>
      </c>
      <c r="H3377" s="11" t="str">
        <f t="shared" si="108"/>
        <v>平成6年9月14日</v>
      </c>
      <c r="I3377" s="22">
        <f t="shared" si="109"/>
        <v>34591</v>
      </c>
      <c r="J3377" s="1" t="str">
        <f>"00743579"</f>
        <v>00743579</v>
      </c>
      <c r="K3377" s="1" t="str">
        <f>"６６７　　　　　　　　　　　　　　　　　"</f>
        <v>６６７　　　　　　　　　　　　　　　　　</v>
      </c>
      <c r="L3377" s="1"/>
    </row>
    <row r="3378" spans="1:12" ht="18" customHeight="1" x14ac:dyDescent="0.15">
      <c r="A3378" s="11">
        <v>3581</v>
      </c>
      <c r="B3378" s="11" t="s">
        <v>54</v>
      </c>
      <c r="C3378" s="11" t="s">
        <v>189</v>
      </c>
      <c r="D3378" s="11">
        <v>1</v>
      </c>
      <c r="E3378" s="11" t="s">
        <v>4</v>
      </c>
      <c r="F3378" s="12">
        <v>25750</v>
      </c>
      <c r="G3378" s="12">
        <v>25750</v>
      </c>
      <c r="H3378" s="11" t="str">
        <f t="shared" si="108"/>
        <v>平成6年9月14日</v>
      </c>
      <c r="I3378" s="22">
        <f t="shared" si="109"/>
        <v>34591</v>
      </c>
      <c r="J3378" s="1" t="str">
        <f>"00743581"</f>
        <v>00743581</v>
      </c>
      <c r="K3378" s="1" t="str">
        <f>"６６８　　　　　　　　　　　　　　　　　"</f>
        <v>６６８　　　　　　　　　　　　　　　　　</v>
      </c>
      <c r="L3378" s="1"/>
    </row>
    <row r="3379" spans="1:12" ht="18" customHeight="1" x14ac:dyDescent="0.15">
      <c r="A3379" s="11">
        <v>3582</v>
      </c>
      <c r="B3379" s="11" t="s">
        <v>54</v>
      </c>
      <c r="C3379" s="11" t="s">
        <v>189</v>
      </c>
      <c r="D3379" s="11">
        <v>1</v>
      </c>
      <c r="E3379" s="11" t="s">
        <v>4</v>
      </c>
      <c r="F3379" s="12">
        <v>25750</v>
      </c>
      <c r="G3379" s="12">
        <v>25750</v>
      </c>
      <c r="H3379" s="11" t="str">
        <f t="shared" si="108"/>
        <v>平成6年9月14日</v>
      </c>
      <c r="I3379" s="22">
        <f t="shared" si="109"/>
        <v>34591</v>
      </c>
      <c r="J3379" s="1" t="str">
        <f>"00743583"</f>
        <v>00743583</v>
      </c>
      <c r="K3379" s="1" t="str">
        <f>"６６９　　　　　　　　　　　　　　　　　"</f>
        <v>６６９　　　　　　　　　　　　　　　　　</v>
      </c>
      <c r="L3379" s="1"/>
    </row>
    <row r="3380" spans="1:12" ht="18" customHeight="1" x14ac:dyDescent="0.15">
      <c r="A3380" s="11">
        <v>3583</v>
      </c>
      <c r="B3380" s="11" t="s">
        <v>54</v>
      </c>
      <c r="C3380" s="11" t="s">
        <v>189</v>
      </c>
      <c r="D3380" s="11">
        <v>1</v>
      </c>
      <c r="E3380" s="11" t="s">
        <v>4</v>
      </c>
      <c r="F3380" s="12">
        <v>25750</v>
      </c>
      <c r="G3380" s="12">
        <v>25750</v>
      </c>
      <c r="H3380" s="11" t="str">
        <f t="shared" si="108"/>
        <v>平成6年9月14日</v>
      </c>
      <c r="I3380" s="22">
        <f t="shared" si="109"/>
        <v>34591</v>
      </c>
      <c r="J3380" s="1" t="str">
        <f>"00743585"</f>
        <v>00743585</v>
      </c>
      <c r="K3380" s="1" t="str">
        <f>"６７０　　　　　　　　　　　　　　　　　"</f>
        <v>６７０　　　　　　　　　　　　　　　　　</v>
      </c>
      <c r="L3380" s="1"/>
    </row>
    <row r="3381" spans="1:12" ht="18" customHeight="1" x14ac:dyDescent="0.15">
      <c r="A3381" s="11">
        <v>3584</v>
      </c>
      <c r="B3381" s="11" t="s">
        <v>54</v>
      </c>
      <c r="C3381" s="11" t="s">
        <v>189</v>
      </c>
      <c r="D3381" s="11">
        <v>1</v>
      </c>
      <c r="E3381" s="11" t="s">
        <v>4</v>
      </c>
      <c r="F3381" s="12">
        <v>25750</v>
      </c>
      <c r="G3381" s="12">
        <v>25750</v>
      </c>
      <c r="H3381" s="11" t="str">
        <f t="shared" si="108"/>
        <v>平成6年9月14日</v>
      </c>
      <c r="I3381" s="22">
        <f t="shared" si="109"/>
        <v>34591</v>
      </c>
      <c r="J3381" s="1" t="str">
        <f>"00743587"</f>
        <v>00743587</v>
      </c>
      <c r="K3381" s="1" t="str">
        <f>"６７１　　　　　　　　　　　　　　　　　"</f>
        <v>６７１　　　　　　　　　　　　　　　　　</v>
      </c>
      <c r="L3381" s="1"/>
    </row>
    <row r="3382" spans="1:12" ht="18" customHeight="1" x14ac:dyDescent="0.15">
      <c r="A3382" s="11">
        <v>3585</v>
      </c>
      <c r="B3382" s="11" t="s">
        <v>54</v>
      </c>
      <c r="C3382" s="11" t="s">
        <v>189</v>
      </c>
      <c r="D3382" s="11">
        <v>1</v>
      </c>
      <c r="E3382" s="11" t="s">
        <v>4</v>
      </c>
      <c r="F3382" s="12">
        <v>25750</v>
      </c>
      <c r="G3382" s="12">
        <v>25750</v>
      </c>
      <c r="H3382" s="11" t="str">
        <f t="shared" si="108"/>
        <v>平成6年9月14日</v>
      </c>
      <c r="I3382" s="22">
        <f t="shared" si="109"/>
        <v>34591</v>
      </c>
      <c r="J3382" s="1" t="str">
        <f>"00743589"</f>
        <v>00743589</v>
      </c>
      <c r="K3382" s="1" t="str">
        <f>"６７２　　　　　　　　　　　　　　　　　"</f>
        <v>６７２　　　　　　　　　　　　　　　　　</v>
      </c>
      <c r="L3382" s="1"/>
    </row>
    <row r="3383" spans="1:12" ht="18" customHeight="1" x14ac:dyDescent="0.15">
      <c r="A3383" s="11">
        <v>3586</v>
      </c>
      <c r="B3383" s="11" t="s">
        <v>54</v>
      </c>
      <c r="C3383" s="11" t="s">
        <v>189</v>
      </c>
      <c r="D3383" s="11">
        <v>1</v>
      </c>
      <c r="E3383" s="11" t="s">
        <v>4</v>
      </c>
      <c r="F3383" s="12">
        <v>25750</v>
      </c>
      <c r="G3383" s="12">
        <v>25750</v>
      </c>
      <c r="H3383" s="11" t="str">
        <f t="shared" si="108"/>
        <v>平成6年9月14日</v>
      </c>
      <c r="I3383" s="22">
        <f t="shared" si="109"/>
        <v>34591</v>
      </c>
      <c r="J3383" s="1" t="str">
        <f>"00743591"</f>
        <v>00743591</v>
      </c>
      <c r="K3383" s="1" t="str">
        <f>"６７３　　　　　　　　　　　　　　　　　"</f>
        <v>６７３　　　　　　　　　　　　　　　　　</v>
      </c>
      <c r="L3383" s="1"/>
    </row>
    <row r="3384" spans="1:12" ht="18" customHeight="1" x14ac:dyDescent="0.15">
      <c r="A3384" s="11">
        <v>3587</v>
      </c>
      <c r="B3384" s="11" t="s">
        <v>54</v>
      </c>
      <c r="C3384" s="11" t="s">
        <v>189</v>
      </c>
      <c r="D3384" s="11">
        <v>1</v>
      </c>
      <c r="E3384" s="11" t="s">
        <v>4</v>
      </c>
      <c r="F3384" s="12">
        <v>25750</v>
      </c>
      <c r="G3384" s="12">
        <v>25750</v>
      </c>
      <c r="H3384" s="11" t="str">
        <f t="shared" si="108"/>
        <v>平成6年9月14日</v>
      </c>
      <c r="I3384" s="22">
        <f t="shared" si="109"/>
        <v>34591</v>
      </c>
      <c r="J3384" s="1" t="str">
        <f>"00743593"</f>
        <v>00743593</v>
      </c>
      <c r="K3384" s="1" t="str">
        <f>"６７４　　　　　　　　　　　　　　　　　"</f>
        <v>６７４　　　　　　　　　　　　　　　　　</v>
      </c>
      <c r="L3384" s="1"/>
    </row>
    <row r="3385" spans="1:12" ht="18" customHeight="1" x14ac:dyDescent="0.15">
      <c r="A3385" s="11">
        <v>3588</v>
      </c>
      <c r="B3385" s="11" t="s">
        <v>54</v>
      </c>
      <c r="C3385" s="11" t="s">
        <v>189</v>
      </c>
      <c r="D3385" s="11">
        <v>1</v>
      </c>
      <c r="E3385" s="11" t="s">
        <v>4</v>
      </c>
      <c r="F3385" s="12">
        <v>25750</v>
      </c>
      <c r="G3385" s="12">
        <v>25750</v>
      </c>
      <c r="H3385" s="11" t="str">
        <f t="shared" si="108"/>
        <v>平成6年9月14日</v>
      </c>
      <c r="I3385" s="22">
        <f t="shared" si="109"/>
        <v>34591</v>
      </c>
      <c r="J3385" s="1" t="str">
        <f>"00743595"</f>
        <v>00743595</v>
      </c>
      <c r="K3385" s="1" t="str">
        <f>"６７５　　　　　　　　　　　　　　　　　"</f>
        <v>６７５　　　　　　　　　　　　　　　　　</v>
      </c>
      <c r="L3385" s="1"/>
    </row>
    <row r="3386" spans="1:12" ht="18" customHeight="1" x14ac:dyDescent="0.15">
      <c r="A3386" s="11">
        <v>3589</v>
      </c>
      <c r="B3386" s="11" t="s">
        <v>54</v>
      </c>
      <c r="C3386" s="11" t="s">
        <v>189</v>
      </c>
      <c r="D3386" s="11">
        <v>1</v>
      </c>
      <c r="E3386" s="11" t="s">
        <v>4</v>
      </c>
      <c r="F3386" s="12">
        <v>25750</v>
      </c>
      <c r="G3386" s="12">
        <v>25750</v>
      </c>
      <c r="H3386" s="11" t="str">
        <f t="shared" si="108"/>
        <v>平成6年9月14日</v>
      </c>
      <c r="I3386" s="22">
        <f t="shared" si="109"/>
        <v>34591</v>
      </c>
      <c r="J3386" s="1" t="str">
        <f>"00743597"</f>
        <v>00743597</v>
      </c>
      <c r="K3386" s="1" t="str">
        <f>"６７６　　　　　　　　　　　　　　　　　"</f>
        <v>６７６　　　　　　　　　　　　　　　　　</v>
      </c>
      <c r="L3386" s="1"/>
    </row>
    <row r="3387" spans="1:12" ht="18" customHeight="1" x14ac:dyDescent="0.15">
      <c r="A3387" s="11">
        <v>3590</v>
      </c>
      <c r="B3387" s="11" t="s">
        <v>54</v>
      </c>
      <c r="C3387" s="11" t="s">
        <v>189</v>
      </c>
      <c r="D3387" s="11">
        <v>1</v>
      </c>
      <c r="E3387" s="11" t="s">
        <v>4</v>
      </c>
      <c r="F3387" s="12">
        <v>25750</v>
      </c>
      <c r="G3387" s="12">
        <v>25750</v>
      </c>
      <c r="H3387" s="11" t="str">
        <f t="shared" si="108"/>
        <v>平成6年9月14日</v>
      </c>
      <c r="I3387" s="22">
        <f t="shared" si="109"/>
        <v>34591</v>
      </c>
      <c r="J3387" s="1" t="str">
        <f>"00743599"</f>
        <v>00743599</v>
      </c>
      <c r="K3387" s="1" t="str">
        <f>"６７７　　　　　　　　　　　　　　　　　"</f>
        <v>６７７　　　　　　　　　　　　　　　　　</v>
      </c>
      <c r="L3387" s="1"/>
    </row>
    <row r="3388" spans="1:12" ht="18" customHeight="1" x14ac:dyDescent="0.15">
      <c r="A3388" s="11">
        <v>3591</v>
      </c>
      <c r="B3388" s="11" t="s">
        <v>54</v>
      </c>
      <c r="C3388" s="11" t="s">
        <v>189</v>
      </c>
      <c r="D3388" s="11">
        <v>1</v>
      </c>
      <c r="E3388" s="11" t="s">
        <v>4</v>
      </c>
      <c r="F3388" s="12">
        <v>25750</v>
      </c>
      <c r="G3388" s="12">
        <v>25750</v>
      </c>
      <c r="H3388" s="11" t="str">
        <f t="shared" si="108"/>
        <v>平成6年9月14日</v>
      </c>
      <c r="I3388" s="22">
        <f t="shared" si="109"/>
        <v>34591</v>
      </c>
      <c r="J3388" s="1" t="str">
        <f>"00743601"</f>
        <v>00743601</v>
      </c>
      <c r="K3388" s="1" t="str">
        <f>"６７８　　　　　　　　　　　　　　　　　"</f>
        <v>６７８　　　　　　　　　　　　　　　　　</v>
      </c>
      <c r="L3388" s="1"/>
    </row>
    <row r="3389" spans="1:12" ht="18" customHeight="1" x14ac:dyDescent="0.15">
      <c r="A3389" s="11">
        <v>3592</v>
      </c>
      <c r="B3389" s="11" t="s">
        <v>54</v>
      </c>
      <c r="C3389" s="11" t="s">
        <v>189</v>
      </c>
      <c r="D3389" s="11">
        <v>1</v>
      </c>
      <c r="E3389" s="11" t="s">
        <v>4</v>
      </c>
      <c r="F3389" s="12">
        <v>25750</v>
      </c>
      <c r="G3389" s="12">
        <v>25750</v>
      </c>
      <c r="H3389" s="11" t="str">
        <f t="shared" si="108"/>
        <v>平成6年9月14日</v>
      </c>
      <c r="I3389" s="22">
        <f t="shared" si="109"/>
        <v>34591</v>
      </c>
      <c r="J3389" s="1" t="str">
        <f>"00743603"</f>
        <v>00743603</v>
      </c>
      <c r="K3389" s="1" t="str">
        <f>"６７９　　　　　　　　　　　　　　　　　"</f>
        <v>６７９　　　　　　　　　　　　　　　　　</v>
      </c>
      <c r="L3389" s="1"/>
    </row>
    <row r="3390" spans="1:12" ht="18" customHeight="1" x14ac:dyDescent="0.15">
      <c r="A3390" s="11">
        <v>3593</v>
      </c>
      <c r="B3390" s="11" t="s">
        <v>54</v>
      </c>
      <c r="C3390" s="11" t="s">
        <v>189</v>
      </c>
      <c r="D3390" s="11">
        <v>1</v>
      </c>
      <c r="E3390" s="11" t="s">
        <v>4</v>
      </c>
      <c r="F3390" s="12">
        <v>25750</v>
      </c>
      <c r="G3390" s="12">
        <v>25750</v>
      </c>
      <c r="H3390" s="11" t="str">
        <f t="shared" si="108"/>
        <v>平成6年9月14日</v>
      </c>
      <c r="I3390" s="22">
        <f t="shared" si="109"/>
        <v>34591</v>
      </c>
      <c r="J3390" s="1" t="str">
        <f>"00743605"</f>
        <v>00743605</v>
      </c>
      <c r="K3390" s="1" t="str">
        <f>"６８０　　　　　　　　　　　　　　　　　"</f>
        <v>６８０　　　　　　　　　　　　　　　　　</v>
      </c>
      <c r="L3390" s="1"/>
    </row>
    <row r="3391" spans="1:12" ht="18" customHeight="1" x14ac:dyDescent="0.15">
      <c r="A3391" s="11">
        <v>3594</v>
      </c>
      <c r="B3391" s="11" t="s">
        <v>54</v>
      </c>
      <c r="C3391" s="11" t="s">
        <v>189</v>
      </c>
      <c r="D3391" s="11">
        <v>1</v>
      </c>
      <c r="E3391" s="11" t="s">
        <v>4</v>
      </c>
      <c r="F3391" s="12">
        <v>25750</v>
      </c>
      <c r="G3391" s="12">
        <v>25750</v>
      </c>
      <c r="H3391" s="11" t="str">
        <f t="shared" si="108"/>
        <v>平成6年9月14日</v>
      </c>
      <c r="I3391" s="22">
        <f t="shared" si="109"/>
        <v>34591</v>
      </c>
      <c r="J3391" s="1" t="str">
        <f>"00743607"</f>
        <v>00743607</v>
      </c>
      <c r="K3391" s="1" t="str">
        <f>"６８１　　　　　　　　　　　　　　　　　"</f>
        <v>６８１　　　　　　　　　　　　　　　　　</v>
      </c>
      <c r="L3391" s="1"/>
    </row>
    <row r="3392" spans="1:12" ht="18" customHeight="1" x14ac:dyDescent="0.15">
      <c r="A3392" s="11">
        <v>3595</v>
      </c>
      <c r="B3392" s="11" t="s">
        <v>54</v>
      </c>
      <c r="C3392" s="11" t="s">
        <v>189</v>
      </c>
      <c r="D3392" s="11">
        <v>1</v>
      </c>
      <c r="E3392" s="11" t="s">
        <v>4</v>
      </c>
      <c r="F3392" s="12">
        <v>25750</v>
      </c>
      <c r="G3392" s="12">
        <v>25750</v>
      </c>
      <c r="H3392" s="11" t="str">
        <f t="shared" si="108"/>
        <v>平成6年9月14日</v>
      </c>
      <c r="I3392" s="22">
        <f t="shared" si="109"/>
        <v>34591</v>
      </c>
      <c r="J3392" s="1" t="str">
        <f>"00743609"</f>
        <v>00743609</v>
      </c>
      <c r="K3392" s="1" t="str">
        <f>"６８２　　　　　　　　　　　　　　　　　"</f>
        <v>６８２　　　　　　　　　　　　　　　　　</v>
      </c>
      <c r="L3392" s="1"/>
    </row>
    <row r="3393" spans="1:12" ht="18" customHeight="1" x14ac:dyDescent="0.15">
      <c r="A3393" s="11">
        <v>3596</v>
      </c>
      <c r="B3393" s="11" t="s">
        <v>54</v>
      </c>
      <c r="C3393" s="11" t="s">
        <v>189</v>
      </c>
      <c r="D3393" s="11">
        <v>1</v>
      </c>
      <c r="E3393" s="11" t="s">
        <v>4</v>
      </c>
      <c r="F3393" s="12">
        <v>25750</v>
      </c>
      <c r="G3393" s="12">
        <v>25750</v>
      </c>
      <c r="H3393" s="11" t="str">
        <f t="shared" si="108"/>
        <v>平成6年9月14日</v>
      </c>
      <c r="I3393" s="22">
        <f t="shared" si="109"/>
        <v>34591</v>
      </c>
      <c r="J3393" s="1" t="str">
        <f>"00743611"</f>
        <v>00743611</v>
      </c>
      <c r="K3393" s="1" t="str">
        <f>"６８３　　　　　　　　　　　　　　　　　"</f>
        <v>６８３　　　　　　　　　　　　　　　　　</v>
      </c>
      <c r="L3393" s="1"/>
    </row>
    <row r="3394" spans="1:12" ht="18" customHeight="1" x14ac:dyDescent="0.15">
      <c r="A3394" s="25">
        <v>3644</v>
      </c>
      <c r="B3394" s="25" t="s">
        <v>30</v>
      </c>
      <c r="C3394" s="25" t="s">
        <v>193</v>
      </c>
      <c r="D3394" s="25">
        <v>1</v>
      </c>
      <c r="E3394" s="25" t="s">
        <v>4</v>
      </c>
      <c r="F3394" s="38">
        <v>286800</v>
      </c>
      <c r="G3394" s="38" t="s">
        <v>667</v>
      </c>
      <c r="H3394" s="25" t="str">
        <f t="shared" si="108"/>
        <v>平成6年9月14日</v>
      </c>
      <c r="I3394" s="22">
        <f t="shared" si="109"/>
        <v>34591</v>
      </c>
      <c r="J3394" s="1" t="str">
        <f>"00743717"</f>
        <v>00743717</v>
      </c>
      <c r="K3394" s="1" t="str">
        <f>"３５６　　　　　　　　　　　　　　　　　"</f>
        <v>３５６　　　　　　　　　　　　　　　　　</v>
      </c>
      <c r="L3394" s="1"/>
    </row>
    <row r="3395" spans="1:12" ht="18" customHeight="1" x14ac:dyDescent="0.15">
      <c r="A3395" s="25">
        <v>3645</v>
      </c>
      <c r="B3395" s="25" t="s">
        <v>30</v>
      </c>
      <c r="C3395" s="25" t="s">
        <v>193</v>
      </c>
      <c r="D3395" s="25">
        <v>1</v>
      </c>
      <c r="E3395" s="25" t="s">
        <v>4</v>
      </c>
      <c r="F3395" s="38">
        <v>286800</v>
      </c>
      <c r="G3395" s="38" t="s">
        <v>667</v>
      </c>
      <c r="H3395" s="25" t="str">
        <f t="shared" si="108"/>
        <v>平成6年9月14日</v>
      </c>
      <c r="I3395" s="22">
        <f t="shared" si="109"/>
        <v>34591</v>
      </c>
      <c r="J3395" s="1" t="str">
        <f>"00743719"</f>
        <v>00743719</v>
      </c>
      <c r="K3395" s="1" t="str">
        <f>"３５７　　　　　　　　　　　　　　　　　"</f>
        <v>３５７　　　　　　　　　　　　　　　　　</v>
      </c>
      <c r="L3395" s="1"/>
    </row>
    <row r="3396" spans="1:12" ht="18" customHeight="1" x14ac:dyDescent="0.15">
      <c r="A3396" s="25">
        <v>3646</v>
      </c>
      <c r="B3396" s="25" t="s">
        <v>30</v>
      </c>
      <c r="C3396" s="25" t="s">
        <v>194</v>
      </c>
      <c r="D3396" s="25">
        <v>1</v>
      </c>
      <c r="E3396" s="25" t="s">
        <v>4</v>
      </c>
      <c r="F3396" s="38">
        <v>422800</v>
      </c>
      <c r="G3396" s="38" t="s">
        <v>667</v>
      </c>
      <c r="H3396" s="25" t="str">
        <f t="shared" si="108"/>
        <v>平成6年9月14日</v>
      </c>
      <c r="I3396" s="22">
        <f t="shared" si="109"/>
        <v>34591</v>
      </c>
      <c r="J3396" s="1" t="str">
        <f>"00743721"</f>
        <v>00743721</v>
      </c>
      <c r="K3396" s="1" t="str">
        <f>"３５８　　　　　　　　　　　　　　　　　"</f>
        <v>３５８　　　　　　　　　　　　　　　　　</v>
      </c>
      <c r="L3396" s="1"/>
    </row>
    <row r="3397" spans="1:12" ht="18" customHeight="1" x14ac:dyDescent="0.15">
      <c r="A3397" s="25">
        <v>3647</v>
      </c>
      <c r="B3397" s="25" t="s">
        <v>30</v>
      </c>
      <c r="C3397" s="25" t="s">
        <v>194</v>
      </c>
      <c r="D3397" s="25">
        <v>1</v>
      </c>
      <c r="E3397" s="25" t="s">
        <v>4</v>
      </c>
      <c r="F3397" s="38">
        <v>422800</v>
      </c>
      <c r="G3397" s="38" t="s">
        <v>667</v>
      </c>
      <c r="H3397" s="25" t="str">
        <f t="shared" si="108"/>
        <v>平成6年9月14日</v>
      </c>
      <c r="I3397" s="22">
        <f t="shared" si="109"/>
        <v>34591</v>
      </c>
      <c r="J3397" s="1" t="str">
        <f>"00743723"</f>
        <v>00743723</v>
      </c>
      <c r="K3397" s="1" t="str">
        <f>"３５９　　　　　　　　　　　　　　　　　"</f>
        <v>３５９　　　　　　　　　　　　　　　　　</v>
      </c>
      <c r="L3397" s="1"/>
    </row>
    <row r="3398" spans="1:12" ht="18" customHeight="1" x14ac:dyDescent="0.15">
      <c r="A3398" s="25">
        <v>3648</v>
      </c>
      <c r="B3398" s="25" t="s">
        <v>30</v>
      </c>
      <c r="C3398" s="25" t="s">
        <v>194</v>
      </c>
      <c r="D3398" s="25">
        <v>1</v>
      </c>
      <c r="E3398" s="25" t="s">
        <v>4</v>
      </c>
      <c r="F3398" s="38">
        <v>422800</v>
      </c>
      <c r="G3398" s="38" t="s">
        <v>667</v>
      </c>
      <c r="H3398" s="25" t="str">
        <f t="shared" si="108"/>
        <v>平成6年9月14日</v>
      </c>
      <c r="I3398" s="22">
        <f t="shared" si="109"/>
        <v>34591</v>
      </c>
      <c r="J3398" s="1" t="str">
        <f>"00743725"</f>
        <v>00743725</v>
      </c>
      <c r="K3398" s="1" t="str">
        <f>"３６０　　　　　　　　　　　　　　　　　"</f>
        <v>３６０　　　　　　　　　　　　　　　　　</v>
      </c>
      <c r="L3398" s="1"/>
    </row>
    <row r="3399" spans="1:12" ht="18" customHeight="1" x14ac:dyDescent="0.15">
      <c r="A3399" s="25">
        <v>3649</v>
      </c>
      <c r="B3399" s="25" t="s">
        <v>30</v>
      </c>
      <c r="C3399" s="25" t="s">
        <v>194</v>
      </c>
      <c r="D3399" s="25">
        <v>1</v>
      </c>
      <c r="E3399" s="25" t="s">
        <v>4</v>
      </c>
      <c r="F3399" s="38">
        <v>422800</v>
      </c>
      <c r="G3399" s="38" t="s">
        <v>667</v>
      </c>
      <c r="H3399" s="25" t="str">
        <f t="shared" si="108"/>
        <v>平成6年9月14日</v>
      </c>
      <c r="I3399" s="22">
        <f t="shared" si="109"/>
        <v>34591</v>
      </c>
      <c r="J3399" s="1" t="str">
        <f>"00743727"</f>
        <v>00743727</v>
      </c>
      <c r="K3399" s="1" t="str">
        <f>"３６１　　　　　　　　　　　　　　　　　"</f>
        <v>３６１　　　　　　　　　　　　　　　　　</v>
      </c>
      <c r="L3399" s="1"/>
    </row>
    <row r="3400" spans="1:12" ht="18" customHeight="1" x14ac:dyDescent="0.15">
      <c r="A3400" s="25">
        <v>3650</v>
      </c>
      <c r="B3400" s="25" t="s">
        <v>30</v>
      </c>
      <c r="C3400" s="25" t="s">
        <v>194</v>
      </c>
      <c r="D3400" s="25">
        <v>1</v>
      </c>
      <c r="E3400" s="25" t="s">
        <v>4</v>
      </c>
      <c r="F3400" s="38">
        <v>422800</v>
      </c>
      <c r="G3400" s="38" t="s">
        <v>667</v>
      </c>
      <c r="H3400" s="25" t="str">
        <f t="shared" si="108"/>
        <v>平成6年9月14日</v>
      </c>
      <c r="I3400" s="22">
        <f t="shared" si="109"/>
        <v>34591</v>
      </c>
      <c r="J3400" s="1" t="str">
        <f>"00743729"</f>
        <v>00743729</v>
      </c>
      <c r="K3400" s="1" t="str">
        <f>"３６２　　　　　　　　　　　　　　　　　"</f>
        <v>３６２　　　　　　　　　　　　　　　　　</v>
      </c>
      <c r="L3400" s="1"/>
    </row>
    <row r="3401" spans="1:12" ht="18" customHeight="1" x14ac:dyDescent="0.15">
      <c r="A3401" s="25">
        <v>3651</v>
      </c>
      <c r="B3401" s="25" t="s">
        <v>30</v>
      </c>
      <c r="C3401" s="25" t="s">
        <v>194</v>
      </c>
      <c r="D3401" s="25">
        <v>1</v>
      </c>
      <c r="E3401" s="25" t="s">
        <v>4</v>
      </c>
      <c r="F3401" s="38">
        <v>422800</v>
      </c>
      <c r="G3401" s="38" t="s">
        <v>667</v>
      </c>
      <c r="H3401" s="25" t="str">
        <f t="shared" si="108"/>
        <v>平成6年9月14日</v>
      </c>
      <c r="I3401" s="22">
        <f t="shared" si="109"/>
        <v>34591</v>
      </c>
      <c r="J3401" s="1" t="str">
        <f>"00743731"</f>
        <v>00743731</v>
      </c>
      <c r="K3401" s="1" t="str">
        <f>"３６３　　　　　　　　　　　　　　　　　"</f>
        <v>３６３　　　　　　　　　　　　　　　　　</v>
      </c>
      <c r="L3401" s="1"/>
    </row>
    <row r="3402" spans="1:12" ht="18" customHeight="1" x14ac:dyDescent="0.15">
      <c r="A3402" s="25">
        <v>3652</v>
      </c>
      <c r="B3402" s="25" t="s">
        <v>30</v>
      </c>
      <c r="C3402" s="25" t="s">
        <v>194</v>
      </c>
      <c r="D3402" s="25">
        <v>1</v>
      </c>
      <c r="E3402" s="25" t="s">
        <v>4</v>
      </c>
      <c r="F3402" s="38">
        <v>422800</v>
      </c>
      <c r="G3402" s="38" t="s">
        <v>667</v>
      </c>
      <c r="H3402" s="25" t="str">
        <f t="shared" si="108"/>
        <v>平成6年9月14日</v>
      </c>
      <c r="I3402" s="22">
        <f t="shared" si="109"/>
        <v>34591</v>
      </c>
      <c r="J3402" s="1" t="str">
        <f>"00743733"</f>
        <v>00743733</v>
      </c>
      <c r="K3402" s="1" t="str">
        <f>"３６４　　　　　　　　　　　　　　　　　"</f>
        <v>３６４　　　　　　　　　　　　　　　　　</v>
      </c>
      <c r="L3402" s="1"/>
    </row>
    <row r="3403" spans="1:12" ht="18" customHeight="1" x14ac:dyDescent="0.15">
      <c r="A3403" s="25">
        <v>3653</v>
      </c>
      <c r="B3403" s="25" t="s">
        <v>30</v>
      </c>
      <c r="C3403" s="25" t="s">
        <v>194</v>
      </c>
      <c r="D3403" s="25">
        <v>1</v>
      </c>
      <c r="E3403" s="25" t="s">
        <v>4</v>
      </c>
      <c r="F3403" s="38">
        <v>422800</v>
      </c>
      <c r="G3403" s="38" t="s">
        <v>667</v>
      </c>
      <c r="H3403" s="25" t="str">
        <f t="shared" si="108"/>
        <v>平成6年9月14日</v>
      </c>
      <c r="I3403" s="22">
        <f t="shared" si="109"/>
        <v>34591</v>
      </c>
      <c r="J3403" s="1" t="str">
        <f>"00743735"</f>
        <v>00743735</v>
      </c>
      <c r="K3403" s="1" t="str">
        <f>"３６５　　　　　　　　　　　　　　　　　"</f>
        <v>３６５　　　　　　　　　　　　　　　　　</v>
      </c>
      <c r="L3403" s="1"/>
    </row>
    <row r="3404" spans="1:12" ht="18" customHeight="1" x14ac:dyDescent="0.15">
      <c r="A3404" s="25">
        <v>3654</v>
      </c>
      <c r="B3404" s="25" t="s">
        <v>30</v>
      </c>
      <c r="C3404" s="25" t="s">
        <v>194</v>
      </c>
      <c r="D3404" s="25">
        <v>1</v>
      </c>
      <c r="E3404" s="25" t="s">
        <v>4</v>
      </c>
      <c r="F3404" s="38">
        <v>422800</v>
      </c>
      <c r="G3404" s="38" t="s">
        <v>667</v>
      </c>
      <c r="H3404" s="25" t="str">
        <f t="shared" si="108"/>
        <v>平成6年9月14日</v>
      </c>
      <c r="I3404" s="22">
        <f t="shared" si="109"/>
        <v>34591</v>
      </c>
      <c r="J3404" s="1" t="str">
        <f>"00743737"</f>
        <v>00743737</v>
      </c>
      <c r="K3404" s="1" t="str">
        <f>"３６６　　　　　　　　　　　　　　　　　"</f>
        <v>３６６　　　　　　　　　　　　　　　　　</v>
      </c>
      <c r="L3404" s="1"/>
    </row>
    <row r="3405" spans="1:12" ht="18" customHeight="1" x14ac:dyDescent="0.15">
      <c r="A3405" s="25">
        <v>3655</v>
      </c>
      <c r="B3405" s="25" t="s">
        <v>30</v>
      </c>
      <c r="C3405" s="25" t="s">
        <v>194</v>
      </c>
      <c r="D3405" s="25">
        <v>1</v>
      </c>
      <c r="E3405" s="25" t="s">
        <v>4</v>
      </c>
      <c r="F3405" s="38">
        <v>422800</v>
      </c>
      <c r="G3405" s="38" t="s">
        <v>667</v>
      </c>
      <c r="H3405" s="25" t="str">
        <f t="shared" si="108"/>
        <v>平成6年9月14日</v>
      </c>
      <c r="I3405" s="22">
        <f t="shared" si="109"/>
        <v>34591</v>
      </c>
      <c r="J3405" s="1" t="str">
        <f>"00743739"</f>
        <v>00743739</v>
      </c>
      <c r="K3405" s="1" t="str">
        <f>"３６７　　　　　　　　　　　　　　　　　"</f>
        <v>３６７　　　　　　　　　　　　　　　　　</v>
      </c>
      <c r="L3405" s="1"/>
    </row>
    <row r="3406" spans="1:12" ht="18" customHeight="1" x14ac:dyDescent="0.15">
      <c r="A3406" s="25">
        <v>3656</v>
      </c>
      <c r="B3406" s="25" t="s">
        <v>30</v>
      </c>
      <c r="C3406" s="25" t="s">
        <v>194</v>
      </c>
      <c r="D3406" s="25">
        <v>1</v>
      </c>
      <c r="E3406" s="25" t="s">
        <v>4</v>
      </c>
      <c r="F3406" s="38">
        <v>422800</v>
      </c>
      <c r="G3406" s="38" t="s">
        <v>667</v>
      </c>
      <c r="H3406" s="25" t="str">
        <f t="shared" si="108"/>
        <v>平成6年9月14日</v>
      </c>
      <c r="I3406" s="22">
        <f t="shared" si="109"/>
        <v>34591</v>
      </c>
      <c r="J3406" s="1" t="str">
        <f>"00743741"</f>
        <v>00743741</v>
      </c>
      <c r="K3406" s="1" t="str">
        <f>"３６８　　　　　　　　　　　　　　　　　"</f>
        <v>３６８　　　　　　　　　　　　　　　　　</v>
      </c>
      <c r="L3406" s="1"/>
    </row>
    <row r="3407" spans="1:12" ht="18" customHeight="1" x14ac:dyDescent="0.15">
      <c r="A3407" s="25">
        <v>3657</v>
      </c>
      <c r="B3407" s="25" t="s">
        <v>30</v>
      </c>
      <c r="C3407" s="25" t="s">
        <v>194</v>
      </c>
      <c r="D3407" s="25">
        <v>1</v>
      </c>
      <c r="E3407" s="25" t="s">
        <v>4</v>
      </c>
      <c r="F3407" s="38">
        <v>422800</v>
      </c>
      <c r="G3407" s="38" t="s">
        <v>667</v>
      </c>
      <c r="H3407" s="25" t="str">
        <f t="shared" ref="H3407:H3470" si="110">"平成6年9月14日"</f>
        <v>平成6年9月14日</v>
      </c>
      <c r="I3407" s="22">
        <f t="shared" si="109"/>
        <v>34591</v>
      </c>
      <c r="J3407" s="1" t="str">
        <f>"00743743"</f>
        <v>00743743</v>
      </c>
      <c r="K3407" s="1" t="str">
        <f>"３６９　　　　　　　　　　　　　　　　　"</f>
        <v>３６９　　　　　　　　　　　　　　　　　</v>
      </c>
      <c r="L3407" s="1"/>
    </row>
    <row r="3408" spans="1:12" ht="18" customHeight="1" x14ac:dyDescent="0.15">
      <c r="A3408" s="25">
        <v>3658</v>
      </c>
      <c r="B3408" s="25" t="s">
        <v>30</v>
      </c>
      <c r="C3408" s="25" t="s">
        <v>194</v>
      </c>
      <c r="D3408" s="25">
        <v>1</v>
      </c>
      <c r="E3408" s="25" t="s">
        <v>4</v>
      </c>
      <c r="F3408" s="38">
        <v>422800</v>
      </c>
      <c r="G3408" s="38" t="s">
        <v>667</v>
      </c>
      <c r="H3408" s="25" t="str">
        <f t="shared" si="110"/>
        <v>平成6年9月14日</v>
      </c>
      <c r="I3408" s="22">
        <f t="shared" si="109"/>
        <v>34591</v>
      </c>
      <c r="J3408" s="1" t="str">
        <f>"00743745"</f>
        <v>00743745</v>
      </c>
      <c r="K3408" s="1" t="str">
        <f>"３７０　　　　　　　　　　　　　　　　　"</f>
        <v>３７０　　　　　　　　　　　　　　　　　</v>
      </c>
      <c r="L3408" s="1"/>
    </row>
    <row r="3409" spans="1:12" ht="18" customHeight="1" x14ac:dyDescent="0.15">
      <c r="A3409" s="25">
        <v>3659</v>
      </c>
      <c r="B3409" s="25" t="s">
        <v>30</v>
      </c>
      <c r="C3409" s="25" t="s">
        <v>194</v>
      </c>
      <c r="D3409" s="25">
        <v>1</v>
      </c>
      <c r="E3409" s="25" t="s">
        <v>4</v>
      </c>
      <c r="F3409" s="38">
        <v>422800</v>
      </c>
      <c r="G3409" s="38" t="s">
        <v>667</v>
      </c>
      <c r="H3409" s="25" t="str">
        <f t="shared" si="110"/>
        <v>平成6年9月14日</v>
      </c>
      <c r="I3409" s="22">
        <f t="shared" si="109"/>
        <v>34591</v>
      </c>
      <c r="J3409" s="1" t="str">
        <f>"00743747"</f>
        <v>00743747</v>
      </c>
      <c r="K3409" s="1" t="str">
        <f>"３７１　　　　　　　　　　　　　　　　　"</f>
        <v>３７１　　　　　　　　　　　　　　　　　</v>
      </c>
      <c r="L3409" s="1"/>
    </row>
    <row r="3410" spans="1:12" ht="18" customHeight="1" x14ac:dyDescent="0.15">
      <c r="A3410" s="25">
        <v>3660</v>
      </c>
      <c r="B3410" s="25" t="s">
        <v>30</v>
      </c>
      <c r="C3410" s="25" t="s">
        <v>194</v>
      </c>
      <c r="D3410" s="25">
        <v>1</v>
      </c>
      <c r="E3410" s="25" t="s">
        <v>4</v>
      </c>
      <c r="F3410" s="38">
        <v>422800</v>
      </c>
      <c r="G3410" s="38" t="s">
        <v>667</v>
      </c>
      <c r="H3410" s="25" t="str">
        <f t="shared" si="110"/>
        <v>平成6年9月14日</v>
      </c>
      <c r="I3410" s="22">
        <f t="shared" ref="I3410:I3473" si="111">DATEVALUE(H3410)</f>
        <v>34591</v>
      </c>
      <c r="J3410" s="1" t="str">
        <f>"00743749"</f>
        <v>00743749</v>
      </c>
      <c r="K3410" s="1" t="str">
        <f>"３７２　　　　　　　　　　　　　　　　　"</f>
        <v>３７２　　　　　　　　　　　　　　　　　</v>
      </c>
      <c r="L3410" s="1"/>
    </row>
    <row r="3411" spans="1:12" ht="18" customHeight="1" x14ac:dyDescent="0.15">
      <c r="A3411" s="25">
        <v>3661</v>
      </c>
      <c r="B3411" s="25" t="s">
        <v>30</v>
      </c>
      <c r="C3411" s="25" t="s">
        <v>194</v>
      </c>
      <c r="D3411" s="25">
        <v>1</v>
      </c>
      <c r="E3411" s="25" t="s">
        <v>4</v>
      </c>
      <c r="F3411" s="38">
        <v>422800</v>
      </c>
      <c r="G3411" s="38" t="s">
        <v>667</v>
      </c>
      <c r="H3411" s="25" t="str">
        <f t="shared" si="110"/>
        <v>平成6年9月14日</v>
      </c>
      <c r="I3411" s="22">
        <f t="shared" si="111"/>
        <v>34591</v>
      </c>
      <c r="J3411" s="1" t="str">
        <f>"00743751"</f>
        <v>00743751</v>
      </c>
      <c r="K3411" s="1" t="str">
        <f>"３７３　　　　　　　　　　　　　　　　　"</f>
        <v>３７３　　　　　　　　　　　　　　　　　</v>
      </c>
      <c r="L3411" s="1"/>
    </row>
    <row r="3412" spans="1:12" ht="18" customHeight="1" x14ac:dyDescent="0.15">
      <c r="A3412" s="25">
        <v>3662</v>
      </c>
      <c r="B3412" s="25" t="s">
        <v>30</v>
      </c>
      <c r="C3412" s="25" t="s">
        <v>194</v>
      </c>
      <c r="D3412" s="25">
        <v>1</v>
      </c>
      <c r="E3412" s="25" t="s">
        <v>4</v>
      </c>
      <c r="F3412" s="38">
        <v>422800</v>
      </c>
      <c r="G3412" s="38" t="s">
        <v>667</v>
      </c>
      <c r="H3412" s="25" t="str">
        <f t="shared" si="110"/>
        <v>平成6年9月14日</v>
      </c>
      <c r="I3412" s="22">
        <f t="shared" si="111"/>
        <v>34591</v>
      </c>
      <c r="J3412" s="1" t="str">
        <f>"00743753"</f>
        <v>00743753</v>
      </c>
      <c r="K3412" s="1" t="str">
        <f>"３７４　　　　　　　　　　　　　　　　　"</f>
        <v>３７４　　　　　　　　　　　　　　　　　</v>
      </c>
      <c r="L3412" s="1"/>
    </row>
    <row r="3413" spans="1:12" ht="18" customHeight="1" x14ac:dyDescent="0.15">
      <c r="A3413" s="25">
        <v>3663</v>
      </c>
      <c r="B3413" s="25" t="s">
        <v>30</v>
      </c>
      <c r="C3413" s="25" t="s">
        <v>194</v>
      </c>
      <c r="D3413" s="25">
        <v>1</v>
      </c>
      <c r="E3413" s="25" t="s">
        <v>4</v>
      </c>
      <c r="F3413" s="38">
        <v>422800</v>
      </c>
      <c r="G3413" s="38" t="s">
        <v>667</v>
      </c>
      <c r="H3413" s="25" t="str">
        <f t="shared" si="110"/>
        <v>平成6年9月14日</v>
      </c>
      <c r="I3413" s="22">
        <f t="shared" si="111"/>
        <v>34591</v>
      </c>
      <c r="J3413" s="1" t="str">
        <f>"00743755"</f>
        <v>00743755</v>
      </c>
      <c r="K3413" s="1" t="str">
        <f>"３７５　　　　　　　　　　　　　　　　　"</f>
        <v>３７５　　　　　　　　　　　　　　　　　</v>
      </c>
      <c r="L3413" s="1"/>
    </row>
    <row r="3414" spans="1:12" ht="18" customHeight="1" x14ac:dyDescent="0.15">
      <c r="A3414" s="25">
        <v>3664</v>
      </c>
      <c r="B3414" s="25" t="s">
        <v>30</v>
      </c>
      <c r="C3414" s="25" t="s">
        <v>194</v>
      </c>
      <c r="D3414" s="25">
        <v>1</v>
      </c>
      <c r="E3414" s="25" t="s">
        <v>4</v>
      </c>
      <c r="F3414" s="38">
        <v>422800</v>
      </c>
      <c r="G3414" s="38" t="s">
        <v>667</v>
      </c>
      <c r="H3414" s="25" t="str">
        <f t="shared" si="110"/>
        <v>平成6年9月14日</v>
      </c>
      <c r="I3414" s="22">
        <f t="shared" si="111"/>
        <v>34591</v>
      </c>
      <c r="J3414" s="1" t="str">
        <f>"00743757"</f>
        <v>00743757</v>
      </c>
      <c r="K3414" s="1" t="str">
        <f>"３７６　　　　　　　　　　　　　　　　　"</f>
        <v>３７６　　　　　　　　　　　　　　　　　</v>
      </c>
      <c r="L3414" s="1"/>
    </row>
    <row r="3415" spans="1:12" ht="18" customHeight="1" x14ac:dyDescent="0.15">
      <c r="A3415" s="25">
        <v>3665</v>
      </c>
      <c r="B3415" s="25" t="s">
        <v>30</v>
      </c>
      <c r="C3415" s="25" t="s">
        <v>194</v>
      </c>
      <c r="D3415" s="25">
        <v>1</v>
      </c>
      <c r="E3415" s="25" t="s">
        <v>4</v>
      </c>
      <c r="F3415" s="38">
        <v>422800</v>
      </c>
      <c r="G3415" s="38" t="s">
        <v>667</v>
      </c>
      <c r="H3415" s="25" t="str">
        <f t="shared" si="110"/>
        <v>平成6年9月14日</v>
      </c>
      <c r="I3415" s="22">
        <f t="shared" si="111"/>
        <v>34591</v>
      </c>
      <c r="J3415" s="1" t="str">
        <f>"00743759"</f>
        <v>00743759</v>
      </c>
      <c r="K3415" s="1" t="str">
        <f>"３７７　　　　　　　　　　　　　　　　　"</f>
        <v>３７７　　　　　　　　　　　　　　　　　</v>
      </c>
      <c r="L3415" s="1"/>
    </row>
    <row r="3416" spans="1:12" ht="18" customHeight="1" x14ac:dyDescent="0.15">
      <c r="A3416" s="25">
        <v>3666</v>
      </c>
      <c r="B3416" s="25" t="s">
        <v>30</v>
      </c>
      <c r="C3416" s="25" t="s">
        <v>194</v>
      </c>
      <c r="D3416" s="25">
        <v>1</v>
      </c>
      <c r="E3416" s="25" t="s">
        <v>4</v>
      </c>
      <c r="F3416" s="38">
        <v>422800</v>
      </c>
      <c r="G3416" s="38" t="s">
        <v>667</v>
      </c>
      <c r="H3416" s="25" t="str">
        <f t="shared" si="110"/>
        <v>平成6年9月14日</v>
      </c>
      <c r="I3416" s="22">
        <f t="shared" si="111"/>
        <v>34591</v>
      </c>
      <c r="J3416" s="1" t="str">
        <f>"00743761"</f>
        <v>00743761</v>
      </c>
      <c r="K3416" s="1" t="str">
        <f>"３７８　　　　　　　　　　　　　　　　　"</f>
        <v>３７８　　　　　　　　　　　　　　　　　</v>
      </c>
      <c r="L3416" s="1"/>
    </row>
    <row r="3417" spans="1:12" ht="18" customHeight="1" x14ac:dyDescent="0.15">
      <c r="A3417" s="25">
        <v>3667</v>
      </c>
      <c r="B3417" s="25" t="s">
        <v>30</v>
      </c>
      <c r="C3417" s="25" t="s">
        <v>194</v>
      </c>
      <c r="D3417" s="25">
        <v>1</v>
      </c>
      <c r="E3417" s="25" t="s">
        <v>4</v>
      </c>
      <c r="F3417" s="38">
        <v>422800</v>
      </c>
      <c r="G3417" s="38" t="s">
        <v>667</v>
      </c>
      <c r="H3417" s="25" t="str">
        <f t="shared" si="110"/>
        <v>平成6年9月14日</v>
      </c>
      <c r="I3417" s="22">
        <f t="shared" si="111"/>
        <v>34591</v>
      </c>
      <c r="J3417" s="1" t="str">
        <f>"00743763"</f>
        <v>00743763</v>
      </c>
      <c r="K3417" s="1" t="str">
        <f>"３７９　　　　　　　　　　　　　　　　　"</f>
        <v>３７９　　　　　　　　　　　　　　　　　</v>
      </c>
      <c r="L3417" s="1"/>
    </row>
    <row r="3418" spans="1:12" ht="18" customHeight="1" x14ac:dyDescent="0.15">
      <c r="A3418" s="25">
        <v>3668</v>
      </c>
      <c r="B3418" s="25" t="s">
        <v>30</v>
      </c>
      <c r="C3418" s="25" t="s">
        <v>194</v>
      </c>
      <c r="D3418" s="25">
        <v>1</v>
      </c>
      <c r="E3418" s="25" t="s">
        <v>4</v>
      </c>
      <c r="F3418" s="38">
        <v>422800</v>
      </c>
      <c r="G3418" s="38" t="s">
        <v>667</v>
      </c>
      <c r="H3418" s="25" t="str">
        <f t="shared" si="110"/>
        <v>平成6年9月14日</v>
      </c>
      <c r="I3418" s="22">
        <f t="shared" si="111"/>
        <v>34591</v>
      </c>
      <c r="J3418" s="1" t="str">
        <f>"00743765"</f>
        <v>00743765</v>
      </c>
      <c r="K3418" s="1" t="str">
        <f>"３８０　　　　　　　　　　　　　　　　　"</f>
        <v>３８０　　　　　　　　　　　　　　　　　</v>
      </c>
      <c r="L3418" s="1"/>
    </row>
    <row r="3419" spans="1:12" ht="18" customHeight="1" x14ac:dyDescent="0.15">
      <c r="A3419" s="25">
        <v>3669</v>
      </c>
      <c r="B3419" s="25" t="s">
        <v>30</v>
      </c>
      <c r="C3419" s="25" t="s">
        <v>194</v>
      </c>
      <c r="D3419" s="25">
        <v>1</v>
      </c>
      <c r="E3419" s="25" t="s">
        <v>4</v>
      </c>
      <c r="F3419" s="38">
        <v>422800</v>
      </c>
      <c r="G3419" s="38" t="s">
        <v>667</v>
      </c>
      <c r="H3419" s="25" t="str">
        <f t="shared" si="110"/>
        <v>平成6年9月14日</v>
      </c>
      <c r="I3419" s="22">
        <f t="shared" si="111"/>
        <v>34591</v>
      </c>
      <c r="J3419" s="1" t="str">
        <f>"00743767"</f>
        <v>00743767</v>
      </c>
      <c r="K3419" s="1" t="str">
        <f>"３８１　　　　　　　　　　　　　　　　　"</f>
        <v>３８１　　　　　　　　　　　　　　　　　</v>
      </c>
      <c r="L3419" s="1"/>
    </row>
    <row r="3420" spans="1:12" ht="18" customHeight="1" x14ac:dyDescent="0.15">
      <c r="A3420" s="25">
        <v>3670</v>
      </c>
      <c r="B3420" s="25" t="s">
        <v>30</v>
      </c>
      <c r="C3420" s="25" t="s">
        <v>194</v>
      </c>
      <c r="D3420" s="25">
        <v>1</v>
      </c>
      <c r="E3420" s="25" t="s">
        <v>4</v>
      </c>
      <c r="F3420" s="38">
        <v>422800</v>
      </c>
      <c r="G3420" s="38" t="s">
        <v>667</v>
      </c>
      <c r="H3420" s="25" t="str">
        <f t="shared" si="110"/>
        <v>平成6年9月14日</v>
      </c>
      <c r="I3420" s="22">
        <f t="shared" si="111"/>
        <v>34591</v>
      </c>
      <c r="J3420" s="1" t="str">
        <f>"00743769"</f>
        <v>00743769</v>
      </c>
      <c r="K3420" s="1" t="str">
        <f>"３８２　　　　　　　　　　　　　　　　　"</f>
        <v>３８２　　　　　　　　　　　　　　　　　</v>
      </c>
      <c r="L3420" s="1"/>
    </row>
    <row r="3421" spans="1:12" ht="18" customHeight="1" x14ac:dyDescent="0.15">
      <c r="A3421" s="25">
        <v>3671</v>
      </c>
      <c r="B3421" s="25" t="s">
        <v>30</v>
      </c>
      <c r="C3421" s="25" t="s">
        <v>195</v>
      </c>
      <c r="D3421" s="25">
        <v>1</v>
      </c>
      <c r="E3421" s="25" t="s">
        <v>4</v>
      </c>
      <c r="F3421" s="38">
        <v>322000</v>
      </c>
      <c r="G3421" s="38" t="s">
        <v>667</v>
      </c>
      <c r="H3421" s="25" t="str">
        <f t="shared" si="110"/>
        <v>平成6年9月14日</v>
      </c>
      <c r="I3421" s="22">
        <f t="shared" si="111"/>
        <v>34591</v>
      </c>
      <c r="J3421" s="1" t="str">
        <f>"00743771"</f>
        <v>00743771</v>
      </c>
      <c r="K3421" s="1" t="str">
        <f>"３８３　　　　　　　　　　　　　　　　　"</f>
        <v>３８３　　　　　　　　　　　　　　　　　</v>
      </c>
      <c r="L3421" s="1"/>
    </row>
    <row r="3422" spans="1:12" ht="18" customHeight="1" x14ac:dyDescent="0.15">
      <c r="A3422" s="25">
        <v>3672</v>
      </c>
      <c r="B3422" s="25" t="s">
        <v>30</v>
      </c>
      <c r="C3422" s="25" t="s">
        <v>195</v>
      </c>
      <c r="D3422" s="25">
        <v>1</v>
      </c>
      <c r="E3422" s="25" t="s">
        <v>4</v>
      </c>
      <c r="F3422" s="38">
        <v>322000</v>
      </c>
      <c r="G3422" s="38" t="s">
        <v>667</v>
      </c>
      <c r="H3422" s="25" t="str">
        <f t="shared" si="110"/>
        <v>平成6年9月14日</v>
      </c>
      <c r="I3422" s="22">
        <f t="shared" si="111"/>
        <v>34591</v>
      </c>
      <c r="J3422" s="1" t="str">
        <f>"00743773"</f>
        <v>00743773</v>
      </c>
      <c r="K3422" s="1" t="str">
        <f>"３８４　　　　　　　　　　　　　　　　　"</f>
        <v>３８４　　　　　　　　　　　　　　　　　</v>
      </c>
      <c r="L3422" s="1"/>
    </row>
    <row r="3423" spans="1:12" ht="18" customHeight="1" x14ac:dyDescent="0.15">
      <c r="A3423" s="25">
        <v>3673</v>
      </c>
      <c r="B3423" s="25" t="s">
        <v>30</v>
      </c>
      <c r="C3423" s="25" t="s">
        <v>195</v>
      </c>
      <c r="D3423" s="25">
        <v>1</v>
      </c>
      <c r="E3423" s="25" t="s">
        <v>4</v>
      </c>
      <c r="F3423" s="38">
        <v>322000</v>
      </c>
      <c r="G3423" s="38" t="s">
        <v>667</v>
      </c>
      <c r="H3423" s="25" t="str">
        <f t="shared" si="110"/>
        <v>平成6年9月14日</v>
      </c>
      <c r="I3423" s="22">
        <f t="shared" si="111"/>
        <v>34591</v>
      </c>
      <c r="J3423" s="1" t="str">
        <f>"00743774"</f>
        <v>00743774</v>
      </c>
      <c r="K3423" s="1" t="str">
        <f>"３８５　　　　　　　　　　　　　　　　　"</f>
        <v>３８５　　　　　　　　　　　　　　　　　</v>
      </c>
      <c r="L3423" s="1"/>
    </row>
    <row r="3424" spans="1:12" ht="18" customHeight="1" x14ac:dyDescent="0.15">
      <c r="A3424" s="25">
        <v>3674</v>
      </c>
      <c r="B3424" s="25" t="s">
        <v>30</v>
      </c>
      <c r="C3424" s="25" t="s">
        <v>195</v>
      </c>
      <c r="D3424" s="25">
        <v>1</v>
      </c>
      <c r="E3424" s="25" t="s">
        <v>4</v>
      </c>
      <c r="F3424" s="38">
        <v>322000</v>
      </c>
      <c r="G3424" s="38" t="s">
        <v>667</v>
      </c>
      <c r="H3424" s="25" t="str">
        <f t="shared" si="110"/>
        <v>平成6年9月14日</v>
      </c>
      <c r="I3424" s="22">
        <f t="shared" si="111"/>
        <v>34591</v>
      </c>
      <c r="J3424" s="1" t="str">
        <f>"00743776"</f>
        <v>00743776</v>
      </c>
      <c r="K3424" s="1" t="str">
        <f>"３８６　　　　　　　　　　　　　　　　　"</f>
        <v>３８６　　　　　　　　　　　　　　　　　</v>
      </c>
      <c r="L3424" s="1"/>
    </row>
    <row r="3425" spans="1:12" ht="18" customHeight="1" x14ac:dyDescent="0.15">
      <c r="A3425" s="25">
        <v>3675</v>
      </c>
      <c r="B3425" s="25" t="s">
        <v>30</v>
      </c>
      <c r="C3425" s="25" t="s">
        <v>172</v>
      </c>
      <c r="D3425" s="25">
        <v>1</v>
      </c>
      <c r="E3425" s="25" t="s">
        <v>4</v>
      </c>
      <c r="F3425" s="38">
        <v>217330</v>
      </c>
      <c r="G3425" s="38" t="s">
        <v>667</v>
      </c>
      <c r="H3425" s="25" t="str">
        <f t="shared" si="110"/>
        <v>平成6年9月14日</v>
      </c>
      <c r="I3425" s="22">
        <f t="shared" si="111"/>
        <v>34591</v>
      </c>
      <c r="J3425" s="1" t="str">
        <f>"00743778"</f>
        <v>00743778</v>
      </c>
      <c r="K3425" s="1" t="str">
        <f>"３８９　　　　　　　　　　　　　　　　　"</f>
        <v>３８９　　　　　　　　　　　　　　　　　</v>
      </c>
      <c r="L3425" s="1"/>
    </row>
    <row r="3426" spans="1:12" ht="18" customHeight="1" x14ac:dyDescent="0.15">
      <c r="A3426" s="25">
        <v>3676</v>
      </c>
      <c r="B3426" s="25" t="s">
        <v>30</v>
      </c>
      <c r="C3426" s="25" t="s">
        <v>172</v>
      </c>
      <c r="D3426" s="25">
        <v>1</v>
      </c>
      <c r="E3426" s="25" t="s">
        <v>4</v>
      </c>
      <c r="F3426" s="38">
        <v>217330</v>
      </c>
      <c r="G3426" s="38" t="s">
        <v>667</v>
      </c>
      <c r="H3426" s="25" t="str">
        <f t="shared" si="110"/>
        <v>平成6年9月14日</v>
      </c>
      <c r="I3426" s="22">
        <f t="shared" si="111"/>
        <v>34591</v>
      </c>
      <c r="J3426" s="1" t="str">
        <f>"00743780"</f>
        <v>00743780</v>
      </c>
      <c r="K3426" s="1" t="str">
        <f>"３９０　　　　　　　　　　　　　　　　　"</f>
        <v>３９０　　　　　　　　　　　　　　　　　</v>
      </c>
      <c r="L3426" s="1"/>
    </row>
    <row r="3427" spans="1:12" ht="18" customHeight="1" x14ac:dyDescent="0.15">
      <c r="A3427" s="25">
        <v>3677</v>
      </c>
      <c r="B3427" s="25" t="s">
        <v>30</v>
      </c>
      <c r="C3427" s="25" t="s">
        <v>196</v>
      </c>
      <c r="D3427" s="25">
        <v>1</v>
      </c>
      <c r="E3427" s="25" t="s">
        <v>4</v>
      </c>
      <c r="F3427" s="38">
        <v>125660</v>
      </c>
      <c r="G3427" s="38" t="s">
        <v>667</v>
      </c>
      <c r="H3427" s="25" t="str">
        <f t="shared" si="110"/>
        <v>平成6年9月14日</v>
      </c>
      <c r="I3427" s="22">
        <f t="shared" si="111"/>
        <v>34591</v>
      </c>
      <c r="J3427" s="1" t="str">
        <f>"00743782"</f>
        <v>00743782</v>
      </c>
      <c r="K3427" s="1" t="str">
        <f>"３９１　　　　　　　　　　　　　　　　　"</f>
        <v>３９１　　　　　　　　　　　　　　　　　</v>
      </c>
      <c r="L3427" s="1"/>
    </row>
    <row r="3428" spans="1:12" ht="18" customHeight="1" x14ac:dyDescent="0.15">
      <c r="A3428" s="25">
        <v>3678</v>
      </c>
      <c r="B3428" s="25" t="s">
        <v>30</v>
      </c>
      <c r="C3428" s="25" t="s">
        <v>196</v>
      </c>
      <c r="D3428" s="25">
        <v>1</v>
      </c>
      <c r="E3428" s="25" t="s">
        <v>4</v>
      </c>
      <c r="F3428" s="38">
        <v>125660</v>
      </c>
      <c r="G3428" s="38" t="s">
        <v>667</v>
      </c>
      <c r="H3428" s="25" t="str">
        <f t="shared" si="110"/>
        <v>平成6年9月14日</v>
      </c>
      <c r="I3428" s="22">
        <f t="shared" si="111"/>
        <v>34591</v>
      </c>
      <c r="J3428" s="1" t="str">
        <f>"00743784"</f>
        <v>00743784</v>
      </c>
      <c r="K3428" s="1" t="str">
        <f>"３９２　　　　　　　　　　　　　　　　　"</f>
        <v>３９２　　　　　　　　　　　　　　　　　</v>
      </c>
      <c r="L3428" s="1"/>
    </row>
    <row r="3429" spans="1:12" ht="18" customHeight="1" x14ac:dyDescent="0.15">
      <c r="A3429" s="25">
        <v>3679</v>
      </c>
      <c r="B3429" s="25" t="s">
        <v>30</v>
      </c>
      <c r="C3429" s="25" t="s">
        <v>196</v>
      </c>
      <c r="D3429" s="25">
        <v>1</v>
      </c>
      <c r="E3429" s="25" t="s">
        <v>4</v>
      </c>
      <c r="F3429" s="38">
        <v>125660</v>
      </c>
      <c r="G3429" s="38" t="s">
        <v>667</v>
      </c>
      <c r="H3429" s="25" t="str">
        <f t="shared" si="110"/>
        <v>平成6年9月14日</v>
      </c>
      <c r="I3429" s="22">
        <f t="shared" si="111"/>
        <v>34591</v>
      </c>
      <c r="J3429" s="1" t="str">
        <f>"00743786"</f>
        <v>00743786</v>
      </c>
      <c r="K3429" s="1" t="str">
        <f>"３９３　　　　　　　　　　　　　　　　　"</f>
        <v>３９３　　　　　　　　　　　　　　　　　</v>
      </c>
      <c r="L3429" s="1"/>
    </row>
    <row r="3430" spans="1:12" ht="18" customHeight="1" x14ac:dyDescent="0.15">
      <c r="A3430" s="25">
        <v>3680</v>
      </c>
      <c r="B3430" s="25" t="s">
        <v>30</v>
      </c>
      <c r="C3430" s="25" t="s">
        <v>196</v>
      </c>
      <c r="D3430" s="25">
        <v>1</v>
      </c>
      <c r="E3430" s="25" t="s">
        <v>4</v>
      </c>
      <c r="F3430" s="38">
        <v>125660</v>
      </c>
      <c r="G3430" s="38" t="s">
        <v>667</v>
      </c>
      <c r="H3430" s="25" t="str">
        <f t="shared" si="110"/>
        <v>平成6年9月14日</v>
      </c>
      <c r="I3430" s="22">
        <f t="shared" si="111"/>
        <v>34591</v>
      </c>
      <c r="J3430" s="1" t="str">
        <f>"00743788"</f>
        <v>00743788</v>
      </c>
      <c r="K3430" s="1" t="str">
        <f>"３９４　　　　　　　　　　　　　　　　　"</f>
        <v>３９４　　　　　　　　　　　　　　　　　</v>
      </c>
      <c r="L3430" s="1"/>
    </row>
    <row r="3431" spans="1:12" ht="18" customHeight="1" x14ac:dyDescent="0.15">
      <c r="A3431" s="25">
        <v>3681</v>
      </c>
      <c r="B3431" s="25" t="s">
        <v>30</v>
      </c>
      <c r="C3431" s="25" t="s">
        <v>197</v>
      </c>
      <c r="D3431" s="25">
        <v>1</v>
      </c>
      <c r="E3431" s="25" t="s">
        <v>4</v>
      </c>
      <c r="F3431" s="38">
        <v>184250</v>
      </c>
      <c r="G3431" s="38" t="s">
        <v>667</v>
      </c>
      <c r="H3431" s="25" t="str">
        <f t="shared" si="110"/>
        <v>平成6年9月14日</v>
      </c>
      <c r="I3431" s="22">
        <f t="shared" si="111"/>
        <v>34591</v>
      </c>
      <c r="J3431" s="1" t="str">
        <f>"00743790"</f>
        <v>00743790</v>
      </c>
      <c r="K3431" s="1" t="str">
        <f>"３９５　　　　　　　　　　　　　　　　　"</f>
        <v>３９５　　　　　　　　　　　　　　　　　</v>
      </c>
      <c r="L3431" s="1"/>
    </row>
    <row r="3432" spans="1:12" ht="18" customHeight="1" x14ac:dyDescent="0.15">
      <c r="A3432" s="25">
        <v>3682</v>
      </c>
      <c r="B3432" s="25" t="s">
        <v>30</v>
      </c>
      <c r="C3432" s="25" t="s">
        <v>197</v>
      </c>
      <c r="D3432" s="25">
        <v>1</v>
      </c>
      <c r="E3432" s="25" t="s">
        <v>4</v>
      </c>
      <c r="F3432" s="38">
        <v>184250</v>
      </c>
      <c r="G3432" s="38" t="s">
        <v>667</v>
      </c>
      <c r="H3432" s="25" t="str">
        <f t="shared" si="110"/>
        <v>平成6年9月14日</v>
      </c>
      <c r="I3432" s="22">
        <f t="shared" si="111"/>
        <v>34591</v>
      </c>
      <c r="J3432" s="1" t="str">
        <f>"00743792"</f>
        <v>00743792</v>
      </c>
      <c r="K3432" s="1" t="str">
        <f>"３９６　　　　　　　　　　　　　　　　　"</f>
        <v>３９６　　　　　　　　　　　　　　　　　</v>
      </c>
      <c r="L3432" s="1"/>
    </row>
    <row r="3433" spans="1:12" ht="18" customHeight="1" x14ac:dyDescent="0.15">
      <c r="A3433" s="25">
        <v>3683</v>
      </c>
      <c r="B3433" s="25" t="s">
        <v>30</v>
      </c>
      <c r="C3433" s="25" t="s">
        <v>197</v>
      </c>
      <c r="D3433" s="25">
        <v>1</v>
      </c>
      <c r="E3433" s="25" t="s">
        <v>4</v>
      </c>
      <c r="F3433" s="38">
        <v>184250</v>
      </c>
      <c r="G3433" s="38" t="s">
        <v>667</v>
      </c>
      <c r="H3433" s="25" t="str">
        <f t="shared" si="110"/>
        <v>平成6年9月14日</v>
      </c>
      <c r="I3433" s="22">
        <f t="shared" si="111"/>
        <v>34591</v>
      </c>
      <c r="J3433" s="1" t="str">
        <f>"00743794"</f>
        <v>00743794</v>
      </c>
      <c r="K3433" s="1" t="str">
        <f>"３９７　　　　　　　　　　　　　　　　　"</f>
        <v>３９７　　　　　　　　　　　　　　　　　</v>
      </c>
      <c r="L3433" s="1"/>
    </row>
    <row r="3434" spans="1:12" ht="18" customHeight="1" x14ac:dyDescent="0.15">
      <c r="A3434" s="25">
        <v>3684</v>
      </c>
      <c r="B3434" s="25" t="s">
        <v>30</v>
      </c>
      <c r="C3434" s="25" t="s">
        <v>197</v>
      </c>
      <c r="D3434" s="25">
        <v>1</v>
      </c>
      <c r="E3434" s="25" t="s">
        <v>4</v>
      </c>
      <c r="F3434" s="38">
        <v>184250</v>
      </c>
      <c r="G3434" s="38" t="s">
        <v>667</v>
      </c>
      <c r="H3434" s="25" t="str">
        <f t="shared" si="110"/>
        <v>平成6年9月14日</v>
      </c>
      <c r="I3434" s="22">
        <f t="shared" si="111"/>
        <v>34591</v>
      </c>
      <c r="J3434" s="1" t="str">
        <f>"00743796"</f>
        <v>00743796</v>
      </c>
      <c r="K3434" s="1" t="str">
        <f>"３９８　　　　　　　　　　　　　　　　　"</f>
        <v>３９８　　　　　　　　　　　　　　　　　</v>
      </c>
      <c r="L3434" s="1"/>
    </row>
    <row r="3435" spans="1:12" ht="18" customHeight="1" x14ac:dyDescent="0.15">
      <c r="A3435" s="25">
        <v>3689</v>
      </c>
      <c r="B3435" s="25" t="s">
        <v>198</v>
      </c>
      <c r="C3435" s="25" t="s">
        <v>199</v>
      </c>
      <c r="D3435" s="25">
        <v>1</v>
      </c>
      <c r="E3435" s="25" t="s">
        <v>4</v>
      </c>
      <c r="F3435" s="38">
        <v>431000</v>
      </c>
      <c r="G3435" s="38" t="s">
        <v>667</v>
      </c>
      <c r="H3435" s="25" t="str">
        <f t="shared" si="110"/>
        <v>平成6年9月14日</v>
      </c>
      <c r="I3435" s="22">
        <f t="shared" si="111"/>
        <v>34591</v>
      </c>
      <c r="J3435" s="1" t="str">
        <f>"00743806"</f>
        <v>00743806</v>
      </c>
      <c r="K3435" s="1" t="str">
        <f>"３０５　　　　　　　　　　　　　　　　　"</f>
        <v>３０５　　　　　　　　　　　　　　　　　</v>
      </c>
      <c r="L3435" s="1"/>
    </row>
    <row r="3436" spans="1:12" ht="18" customHeight="1" x14ac:dyDescent="0.15">
      <c r="A3436" s="25">
        <v>3690</v>
      </c>
      <c r="B3436" s="25" t="s">
        <v>198</v>
      </c>
      <c r="C3436" s="25" t="s">
        <v>199</v>
      </c>
      <c r="D3436" s="25">
        <v>1</v>
      </c>
      <c r="E3436" s="25" t="s">
        <v>4</v>
      </c>
      <c r="F3436" s="38">
        <v>431000</v>
      </c>
      <c r="G3436" s="38" t="s">
        <v>667</v>
      </c>
      <c r="H3436" s="25" t="str">
        <f t="shared" si="110"/>
        <v>平成6年9月14日</v>
      </c>
      <c r="I3436" s="22">
        <f t="shared" si="111"/>
        <v>34591</v>
      </c>
      <c r="J3436" s="1" t="str">
        <f>"00743808"</f>
        <v>00743808</v>
      </c>
      <c r="K3436" s="1" t="str">
        <f>"３０６　　　　　　　　　　　　　　　　　"</f>
        <v>３０６　　　　　　　　　　　　　　　　　</v>
      </c>
      <c r="L3436" s="1"/>
    </row>
    <row r="3437" spans="1:12" ht="18" customHeight="1" x14ac:dyDescent="0.15">
      <c r="A3437" s="25">
        <v>3691</v>
      </c>
      <c r="B3437" s="25" t="s">
        <v>198</v>
      </c>
      <c r="C3437" s="25" t="s">
        <v>199</v>
      </c>
      <c r="D3437" s="25">
        <v>1</v>
      </c>
      <c r="E3437" s="25" t="s">
        <v>4</v>
      </c>
      <c r="F3437" s="38">
        <v>431000</v>
      </c>
      <c r="G3437" s="38" t="s">
        <v>667</v>
      </c>
      <c r="H3437" s="25" t="str">
        <f t="shared" si="110"/>
        <v>平成6年9月14日</v>
      </c>
      <c r="I3437" s="22">
        <f t="shared" si="111"/>
        <v>34591</v>
      </c>
      <c r="J3437" s="1" t="str">
        <f>"00743810"</f>
        <v>00743810</v>
      </c>
      <c r="K3437" s="1" t="str">
        <f>"３０７　　　　　　　　　　　　　　　　　"</f>
        <v>３０７　　　　　　　　　　　　　　　　　</v>
      </c>
      <c r="L3437" s="1"/>
    </row>
    <row r="3438" spans="1:12" ht="18" customHeight="1" x14ac:dyDescent="0.15">
      <c r="A3438" s="25">
        <v>3692</v>
      </c>
      <c r="B3438" s="25" t="s">
        <v>198</v>
      </c>
      <c r="C3438" s="25" t="s">
        <v>199</v>
      </c>
      <c r="D3438" s="25">
        <v>1</v>
      </c>
      <c r="E3438" s="25" t="s">
        <v>4</v>
      </c>
      <c r="F3438" s="38">
        <v>431000</v>
      </c>
      <c r="G3438" s="38" t="s">
        <v>667</v>
      </c>
      <c r="H3438" s="25" t="str">
        <f t="shared" si="110"/>
        <v>平成6年9月14日</v>
      </c>
      <c r="I3438" s="22">
        <f t="shared" si="111"/>
        <v>34591</v>
      </c>
      <c r="J3438" s="1" t="str">
        <f>"00743812"</f>
        <v>00743812</v>
      </c>
      <c r="K3438" s="1" t="str">
        <f>"３０８　　　　　　　　　　　　　　　　　"</f>
        <v>３０８　　　　　　　　　　　　　　　　　</v>
      </c>
      <c r="L3438" s="1"/>
    </row>
    <row r="3439" spans="1:12" ht="18" customHeight="1" x14ac:dyDescent="0.15">
      <c r="A3439" s="25">
        <v>3693</v>
      </c>
      <c r="B3439" s="25" t="s">
        <v>198</v>
      </c>
      <c r="C3439" s="25" t="s">
        <v>199</v>
      </c>
      <c r="D3439" s="25">
        <v>1</v>
      </c>
      <c r="E3439" s="25" t="s">
        <v>4</v>
      </c>
      <c r="F3439" s="38">
        <v>431000</v>
      </c>
      <c r="G3439" s="38" t="s">
        <v>667</v>
      </c>
      <c r="H3439" s="25" t="str">
        <f t="shared" si="110"/>
        <v>平成6年9月14日</v>
      </c>
      <c r="I3439" s="22">
        <f t="shared" si="111"/>
        <v>34591</v>
      </c>
      <c r="J3439" s="1" t="str">
        <f>"00743815"</f>
        <v>00743815</v>
      </c>
      <c r="K3439" s="1" t="str">
        <f>"３０９　　　　　　　　　　　　　　　　　"</f>
        <v>３０９　　　　　　　　　　　　　　　　　</v>
      </c>
      <c r="L3439" s="1"/>
    </row>
    <row r="3440" spans="1:12" ht="18" customHeight="1" x14ac:dyDescent="0.15">
      <c r="A3440" s="25">
        <v>3716</v>
      </c>
      <c r="B3440" s="25" t="s">
        <v>204</v>
      </c>
      <c r="C3440" s="25" t="s">
        <v>205</v>
      </c>
      <c r="D3440" s="25">
        <v>1</v>
      </c>
      <c r="E3440" s="25" t="s">
        <v>4</v>
      </c>
      <c r="F3440" s="38">
        <v>144200</v>
      </c>
      <c r="G3440" s="38" t="s">
        <v>667</v>
      </c>
      <c r="H3440" s="25" t="str">
        <f t="shared" si="110"/>
        <v>平成6年9月14日</v>
      </c>
      <c r="I3440" s="22">
        <f t="shared" si="111"/>
        <v>34591</v>
      </c>
      <c r="J3440" s="1" t="str">
        <f>"00743863"</f>
        <v>00743863</v>
      </c>
      <c r="K3440" s="1" t="str">
        <f>"３０１　　　　　　　　　　　　　　　　　"</f>
        <v>３０１　　　　　　　　　　　　　　　　　</v>
      </c>
      <c r="L3440" s="1"/>
    </row>
    <row r="3441" spans="1:12" ht="18" customHeight="1" x14ac:dyDescent="0.15">
      <c r="A3441" s="25">
        <v>3727</v>
      </c>
      <c r="B3441" s="25" t="s">
        <v>206</v>
      </c>
      <c r="C3441" s="25" t="s">
        <v>213</v>
      </c>
      <c r="D3441" s="25">
        <v>1</v>
      </c>
      <c r="E3441" s="25" t="s">
        <v>4</v>
      </c>
      <c r="F3441" s="38">
        <v>533000</v>
      </c>
      <c r="G3441" s="38" t="s">
        <v>667</v>
      </c>
      <c r="H3441" s="25" t="str">
        <f t="shared" si="110"/>
        <v>平成6年9月14日</v>
      </c>
      <c r="I3441" s="22">
        <f t="shared" si="111"/>
        <v>34591</v>
      </c>
      <c r="J3441" s="1" t="str">
        <f>"00743887"</f>
        <v>00743887</v>
      </c>
      <c r="K3441" s="1" t="str">
        <f>"３１７　　　　　　　　　　　　　　　　　"</f>
        <v>３１７　　　　　　　　　　　　　　　　　</v>
      </c>
      <c r="L3441" s="1"/>
    </row>
    <row r="3442" spans="1:12" ht="18" customHeight="1" x14ac:dyDescent="0.15">
      <c r="A3442" s="25">
        <v>3728</v>
      </c>
      <c r="B3442" s="25" t="s">
        <v>206</v>
      </c>
      <c r="C3442" s="25" t="s">
        <v>214</v>
      </c>
      <c r="D3442" s="25">
        <v>1</v>
      </c>
      <c r="E3442" s="25" t="s">
        <v>4</v>
      </c>
      <c r="F3442" s="38">
        <v>45460</v>
      </c>
      <c r="G3442" s="38" t="s">
        <v>667</v>
      </c>
      <c r="H3442" s="25" t="str">
        <f t="shared" si="110"/>
        <v>平成6年9月14日</v>
      </c>
      <c r="I3442" s="22">
        <f t="shared" si="111"/>
        <v>34591</v>
      </c>
      <c r="J3442" s="1" t="str">
        <f>"00743889"</f>
        <v>00743889</v>
      </c>
      <c r="K3442" s="1" t="str">
        <f>"３１９　　　　　　　　　　　　　　　　　"</f>
        <v>３１９　　　　　　　　　　　　　　　　　</v>
      </c>
      <c r="L3442" s="1"/>
    </row>
    <row r="3443" spans="1:12" ht="18" customHeight="1" x14ac:dyDescent="0.15">
      <c r="A3443" s="25">
        <v>3729</v>
      </c>
      <c r="B3443" s="25" t="s">
        <v>206</v>
      </c>
      <c r="C3443" s="25" t="s">
        <v>214</v>
      </c>
      <c r="D3443" s="25">
        <v>1</v>
      </c>
      <c r="E3443" s="25" t="s">
        <v>4</v>
      </c>
      <c r="F3443" s="38">
        <v>45460</v>
      </c>
      <c r="G3443" s="38" t="s">
        <v>667</v>
      </c>
      <c r="H3443" s="25" t="str">
        <f t="shared" si="110"/>
        <v>平成6年9月14日</v>
      </c>
      <c r="I3443" s="22">
        <f t="shared" si="111"/>
        <v>34591</v>
      </c>
      <c r="J3443" s="1" t="str">
        <f>"00743891"</f>
        <v>00743891</v>
      </c>
      <c r="K3443" s="1" t="str">
        <f>"３２０　　　　　　　　　　　　　　　　　"</f>
        <v>３２０　　　　　　　　　　　　　　　　　</v>
      </c>
      <c r="L3443" s="1"/>
    </row>
    <row r="3444" spans="1:12" ht="18" customHeight="1" x14ac:dyDescent="0.15">
      <c r="A3444" s="25">
        <v>3730</v>
      </c>
      <c r="B3444" s="25" t="s">
        <v>206</v>
      </c>
      <c r="C3444" s="25" t="s">
        <v>214</v>
      </c>
      <c r="D3444" s="25">
        <v>1</v>
      </c>
      <c r="E3444" s="25" t="s">
        <v>4</v>
      </c>
      <c r="F3444" s="38">
        <v>45460</v>
      </c>
      <c r="G3444" s="38" t="s">
        <v>667</v>
      </c>
      <c r="H3444" s="25" t="str">
        <f t="shared" si="110"/>
        <v>平成6年9月14日</v>
      </c>
      <c r="I3444" s="22">
        <f t="shared" si="111"/>
        <v>34591</v>
      </c>
      <c r="J3444" s="1" t="str">
        <f>"00743893"</f>
        <v>00743893</v>
      </c>
      <c r="K3444" s="1" t="str">
        <f>"３２１　　　　　　　　　　　　　　　　　"</f>
        <v>３２１　　　　　　　　　　　　　　　　　</v>
      </c>
      <c r="L3444" s="1"/>
    </row>
    <row r="3445" spans="1:12" ht="18" customHeight="1" x14ac:dyDescent="0.15">
      <c r="A3445" s="25">
        <v>3731</v>
      </c>
      <c r="B3445" s="25" t="s">
        <v>206</v>
      </c>
      <c r="C3445" s="25" t="s">
        <v>214</v>
      </c>
      <c r="D3445" s="25">
        <v>1</v>
      </c>
      <c r="E3445" s="25" t="s">
        <v>4</v>
      </c>
      <c r="F3445" s="38">
        <v>45460</v>
      </c>
      <c r="G3445" s="38" t="s">
        <v>667</v>
      </c>
      <c r="H3445" s="25" t="str">
        <f t="shared" si="110"/>
        <v>平成6年9月14日</v>
      </c>
      <c r="I3445" s="22">
        <f t="shared" si="111"/>
        <v>34591</v>
      </c>
      <c r="J3445" s="1" t="str">
        <f>"00743895"</f>
        <v>00743895</v>
      </c>
      <c r="K3445" s="1" t="str">
        <f>"３２２　　　　　　　　　　　　　　　　　"</f>
        <v>３２２　　　　　　　　　　　　　　　　　</v>
      </c>
      <c r="L3445" s="1"/>
    </row>
    <row r="3446" spans="1:12" ht="18" customHeight="1" x14ac:dyDescent="0.15">
      <c r="A3446" s="25">
        <v>3732</v>
      </c>
      <c r="B3446" s="25" t="s">
        <v>206</v>
      </c>
      <c r="C3446" s="25" t="s">
        <v>214</v>
      </c>
      <c r="D3446" s="25">
        <v>1</v>
      </c>
      <c r="E3446" s="25" t="s">
        <v>4</v>
      </c>
      <c r="F3446" s="38">
        <v>45460</v>
      </c>
      <c r="G3446" s="38" t="s">
        <v>667</v>
      </c>
      <c r="H3446" s="25" t="str">
        <f t="shared" si="110"/>
        <v>平成6年9月14日</v>
      </c>
      <c r="I3446" s="22">
        <f t="shared" si="111"/>
        <v>34591</v>
      </c>
      <c r="J3446" s="1" t="str">
        <f>"00743897"</f>
        <v>00743897</v>
      </c>
      <c r="K3446" s="1" t="str">
        <f>"３２３　　　　　　　　　　　　　　　　　"</f>
        <v>３２３　　　　　　　　　　　　　　　　　</v>
      </c>
      <c r="L3446" s="1"/>
    </row>
    <row r="3447" spans="1:12" ht="18" customHeight="1" x14ac:dyDescent="0.15">
      <c r="A3447" s="25">
        <v>3733</v>
      </c>
      <c r="B3447" s="25" t="s">
        <v>206</v>
      </c>
      <c r="C3447" s="25" t="s">
        <v>214</v>
      </c>
      <c r="D3447" s="25">
        <v>1</v>
      </c>
      <c r="E3447" s="25" t="s">
        <v>4</v>
      </c>
      <c r="F3447" s="38">
        <v>45460</v>
      </c>
      <c r="G3447" s="38" t="s">
        <v>667</v>
      </c>
      <c r="H3447" s="25" t="str">
        <f t="shared" si="110"/>
        <v>平成6年9月14日</v>
      </c>
      <c r="I3447" s="22">
        <f t="shared" si="111"/>
        <v>34591</v>
      </c>
      <c r="J3447" s="1" t="str">
        <f>"00743899"</f>
        <v>00743899</v>
      </c>
      <c r="K3447" s="1" t="str">
        <f>"３２４　　　　　　　　　　　　　　　　　"</f>
        <v>３２４　　　　　　　　　　　　　　　　　</v>
      </c>
      <c r="L3447" s="1"/>
    </row>
    <row r="3448" spans="1:12" ht="18" customHeight="1" x14ac:dyDescent="0.15">
      <c r="A3448" s="25">
        <v>3734</v>
      </c>
      <c r="B3448" s="25" t="s">
        <v>206</v>
      </c>
      <c r="C3448" s="25" t="s">
        <v>214</v>
      </c>
      <c r="D3448" s="25">
        <v>1</v>
      </c>
      <c r="E3448" s="25" t="s">
        <v>4</v>
      </c>
      <c r="F3448" s="38">
        <v>45460</v>
      </c>
      <c r="G3448" s="38" t="s">
        <v>667</v>
      </c>
      <c r="H3448" s="25" t="str">
        <f t="shared" si="110"/>
        <v>平成6年9月14日</v>
      </c>
      <c r="I3448" s="22">
        <f t="shared" si="111"/>
        <v>34591</v>
      </c>
      <c r="J3448" s="1" t="str">
        <f>"00743901"</f>
        <v>00743901</v>
      </c>
      <c r="K3448" s="1" t="str">
        <f>"３２５　　　　　　　　　　　　　　　　　"</f>
        <v>３２５　　　　　　　　　　　　　　　　　</v>
      </c>
      <c r="L3448" s="1"/>
    </row>
    <row r="3449" spans="1:12" ht="18" customHeight="1" x14ac:dyDescent="0.15">
      <c r="A3449" s="25">
        <v>3735</v>
      </c>
      <c r="B3449" s="25" t="s">
        <v>206</v>
      </c>
      <c r="C3449" s="25" t="s">
        <v>214</v>
      </c>
      <c r="D3449" s="25">
        <v>1</v>
      </c>
      <c r="E3449" s="25" t="s">
        <v>4</v>
      </c>
      <c r="F3449" s="38">
        <v>45460</v>
      </c>
      <c r="G3449" s="38" t="s">
        <v>667</v>
      </c>
      <c r="H3449" s="25" t="str">
        <f t="shared" si="110"/>
        <v>平成6年9月14日</v>
      </c>
      <c r="I3449" s="22">
        <f t="shared" si="111"/>
        <v>34591</v>
      </c>
      <c r="J3449" s="1" t="str">
        <f>"00743903"</f>
        <v>00743903</v>
      </c>
      <c r="K3449" s="1" t="str">
        <f>"３２６　　　　　　　　　　　　　　　　　"</f>
        <v>３２６　　　　　　　　　　　　　　　　　</v>
      </c>
      <c r="L3449" s="1"/>
    </row>
    <row r="3450" spans="1:12" ht="18" customHeight="1" x14ac:dyDescent="0.15">
      <c r="A3450" s="25">
        <v>3736</v>
      </c>
      <c r="B3450" s="25" t="s">
        <v>206</v>
      </c>
      <c r="C3450" s="25" t="s">
        <v>214</v>
      </c>
      <c r="D3450" s="25">
        <v>1</v>
      </c>
      <c r="E3450" s="25" t="s">
        <v>4</v>
      </c>
      <c r="F3450" s="38">
        <v>45460</v>
      </c>
      <c r="G3450" s="38" t="s">
        <v>667</v>
      </c>
      <c r="H3450" s="25" t="str">
        <f t="shared" si="110"/>
        <v>平成6年9月14日</v>
      </c>
      <c r="I3450" s="22">
        <f t="shared" si="111"/>
        <v>34591</v>
      </c>
      <c r="J3450" s="1" t="str">
        <f>"00743905"</f>
        <v>00743905</v>
      </c>
      <c r="K3450" s="1" t="str">
        <f>"３２７　　　　　　　　　　　　　　　　　"</f>
        <v>３２７　　　　　　　　　　　　　　　　　</v>
      </c>
      <c r="L3450" s="1"/>
    </row>
    <row r="3451" spans="1:12" ht="18" customHeight="1" x14ac:dyDescent="0.15">
      <c r="A3451" s="25">
        <v>3737</v>
      </c>
      <c r="B3451" s="25" t="s">
        <v>206</v>
      </c>
      <c r="C3451" s="25" t="s">
        <v>214</v>
      </c>
      <c r="D3451" s="25">
        <v>1</v>
      </c>
      <c r="E3451" s="25" t="s">
        <v>4</v>
      </c>
      <c r="F3451" s="38">
        <v>45460</v>
      </c>
      <c r="G3451" s="38" t="s">
        <v>667</v>
      </c>
      <c r="H3451" s="25" t="str">
        <f t="shared" si="110"/>
        <v>平成6年9月14日</v>
      </c>
      <c r="I3451" s="22">
        <f t="shared" si="111"/>
        <v>34591</v>
      </c>
      <c r="J3451" s="1" t="str">
        <f>"00743907"</f>
        <v>00743907</v>
      </c>
      <c r="K3451" s="1" t="str">
        <f>"３２８　　　　　　　　　　　　　　　　　"</f>
        <v>３２８　　　　　　　　　　　　　　　　　</v>
      </c>
      <c r="L3451" s="1"/>
    </row>
    <row r="3452" spans="1:12" ht="18" customHeight="1" x14ac:dyDescent="0.15">
      <c r="A3452" s="25">
        <v>3738</v>
      </c>
      <c r="B3452" s="25" t="s">
        <v>206</v>
      </c>
      <c r="C3452" s="25" t="s">
        <v>214</v>
      </c>
      <c r="D3452" s="25">
        <v>1</v>
      </c>
      <c r="E3452" s="25" t="s">
        <v>4</v>
      </c>
      <c r="F3452" s="38">
        <v>45460</v>
      </c>
      <c r="G3452" s="38" t="s">
        <v>667</v>
      </c>
      <c r="H3452" s="25" t="str">
        <f t="shared" si="110"/>
        <v>平成6年9月14日</v>
      </c>
      <c r="I3452" s="22">
        <f t="shared" si="111"/>
        <v>34591</v>
      </c>
      <c r="J3452" s="1" t="str">
        <f>"00743909"</f>
        <v>00743909</v>
      </c>
      <c r="K3452" s="1" t="str">
        <f>"３２９　　　　　　　　　　　　　　　　　"</f>
        <v>３２９　　　　　　　　　　　　　　　　　</v>
      </c>
      <c r="L3452" s="1"/>
    </row>
    <row r="3453" spans="1:12" ht="18" customHeight="1" x14ac:dyDescent="0.15">
      <c r="A3453" s="25">
        <v>3739</v>
      </c>
      <c r="B3453" s="25" t="s">
        <v>206</v>
      </c>
      <c r="C3453" s="25" t="s">
        <v>214</v>
      </c>
      <c r="D3453" s="25">
        <v>1</v>
      </c>
      <c r="E3453" s="25" t="s">
        <v>4</v>
      </c>
      <c r="F3453" s="38">
        <v>45460</v>
      </c>
      <c r="G3453" s="38" t="s">
        <v>667</v>
      </c>
      <c r="H3453" s="25" t="str">
        <f t="shared" si="110"/>
        <v>平成6年9月14日</v>
      </c>
      <c r="I3453" s="22">
        <f t="shared" si="111"/>
        <v>34591</v>
      </c>
      <c r="J3453" s="1" t="str">
        <f>"00743911"</f>
        <v>00743911</v>
      </c>
      <c r="K3453" s="1" t="str">
        <f>"３３０　　　　　　　　　　　　　　　　　"</f>
        <v>３３０　　　　　　　　　　　　　　　　　</v>
      </c>
      <c r="L3453" s="1"/>
    </row>
    <row r="3454" spans="1:12" ht="18" customHeight="1" x14ac:dyDescent="0.15">
      <c r="A3454" s="25">
        <v>3740</v>
      </c>
      <c r="B3454" s="25" t="s">
        <v>206</v>
      </c>
      <c r="C3454" s="25" t="s">
        <v>214</v>
      </c>
      <c r="D3454" s="25">
        <v>1</v>
      </c>
      <c r="E3454" s="25" t="s">
        <v>4</v>
      </c>
      <c r="F3454" s="38">
        <v>45460</v>
      </c>
      <c r="G3454" s="38" t="s">
        <v>667</v>
      </c>
      <c r="H3454" s="25" t="str">
        <f t="shared" si="110"/>
        <v>平成6年9月14日</v>
      </c>
      <c r="I3454" s="22">
        <f t="shared" si="111"/>
        <v>34591</v>
      </c>
      <c r="J3454" s="1" t="str">
        <f>"00743913"</f>
        <v>00743913</v>
      </c>
      <c r="K3454" s="1" t="str">
        <f>"３３１　　　　　　　　　　　　　　　　　"</f>
        <v>３３１　　　　　　　　　　　　　　　　　</v>
      </c>
      <c r="L3454" s="1"/>
    </row>
    <row r="3455" spans="1:12" ht="18" customHeight="1" x14ac:dyDescent="0.15">
      <c r="A3455" s="25">
        <v>3741</v>
      </c>
      <c r="B3455" s="25" t="s">
        <v>206</v>
      </c>
      <c r="C3455" s="25" t="s">
        <v>214</v>
      </c>
      <c r="D3455" s="25">
        <v>1</v>
      </c>
      <c r="E3455" s="25" t="s">
        <v>4</v>
      </c>
      <c r="F3455" s="38">
        <v>45460</v>
      </c>
      <c r="G3455" s="38" t="s">
        <v>667</v>
      </c>
      <c r="H3455" s="25" t="str">
        <f t="shared" si="110"/>
        <v>平成6年9月14日</v>
      </c>
      <c r="I3455" s="22">
        <f t="shared" si="111"/>
        <v>34591</v>
      </c>
      <c r="J3455" s="1" t="str">
        <f>"00743915"</f>
        <v>00743915</v>
      </c>
      <c r="K3455" s="1" t="str">
        <f>"３３２　　　　　　　　　　　　　　　　　"</f>
        <v>３３２　　　　　　　　　　　　　　　　　</v>
      </c>
      <c r="L3455" s="1"/>
    </row>
    <row r="3456" spans="1:12" ht="18" customHeight="1" x14ac:dyDescent="0.15">
      <c r="A3456" s="25">
        <v>3742</v>
      </c>
      <c r="B3456" s="25" t="s">
        <v>206</v>
      </c>
      <c r="C3456" s="25" t="s">
        <v>214</v>
      </c>
      <c r="D3456" s="25">
        <v>1</v>
      </c>
      <c r="E3456" s="25" t="s">
        <v>4</v>
      </c>
      <c r="F3456" s="38">
        <v>45460</v>
      </c>
      <c r="G3456" s="38" t="s">
        <v>667</v>
      </c>
      <c r="H3456" s="25" t="str">
        <f t="shared" si="110"/>
        <v>平成6年9月14日</v>
      </c>
      <c r="I3456" s="22">
        <f t="shared" si="111"/>
        <v>34591</v>
      </c>
      <c r="J3456" s="1" t="str">
        <f>"00743917"</f>
        <v>00743917</v>
      </c>
      <c r="K3456" s="1" t="str">
        <f>"３３３　　　　　　　　　　　　　　　　　"</f>
        <v>３３３　　　　　　　　　　　　　　　　　</v>
      </c>
      <c r="L3456" s="1"/>
    </row>
    <row r="3457" spans="1:12" ht="18" customHeight="1" x14ac:dyDescent="0.15">
      <c r="A3457" s="25">
        <v>3743</v>
      </c>
      <c r="B3457" s="25" t="s">
        <v>206</v>
      </c>
      <c r="C3457" s="25" t="s">
        <v>214</v>
      </c>
      <c r="D3457" s="25">
        <v>1</v>
      </c>
      <c r="E3457" s="25" t="s">
        <v>4</v>
      </c>
      <c r="F3457" s="38">
        <v>45460</v>
      </c>
      <c r="G3457" s="38" t="s">
        <v>667</v>
      </c>
      <c r="H3457" s="25" t="str">
        <f t="shared" si="110"/>
        <v>平成6年9月14日</v>
      </c>
      <c r="I3457" s="22">
        <f t="shared" si="111"/>
        <v>34591</v>
      </c>
      <c r="J3457" s="1" t="str">
        <f>"00743919"</f>
        <v>00743919</v>
      </c>
      <c r="K3457" s="1" t="str">
        <f>"３３４　　　　　　　　　　　　　　　　　"</f>
        <v>３３４　　　　　　　　　　　　　　　　　</v>
      </c>
      <c r="L3457" s="1"/>
    </row>
    <row r="3458" spans="1:12" ht="18" customHeight="1" x14ac:dyDescent="0.15">
      <c r="A3458" s="25">
        <v>3744</v>
      </c>
      <c r="B3458" s="25" t="s">
        <v>206</v>
      </c>
      <c r="C3458" s="25" t="s">
        <v>214</v>
      </c>
      <c r="D3458" s="25">
        <v>1</v>
      </c>
      <c r="E3458" s="25" t="s">
        <v>4</v>
      </c>
      <c r="F3458" s="38">
        <v>45460</v>
      </c>
      <c r="G3458" s="38" t="s">
        <v>667</v>
      </c>
      <c r="H3458" s="25" t="str">
        <f t="shared" si="110"/>
        <v>平成6年9月14日</v>
      </c>
      <c r="I3458" s="22">
        <f t="shared" si="111"/>
        <v>34591</v>
      </c>
      <c r="J3458" s="1" t="str">
        <f>"00743921"</f>
        <v>00743921</v>
      </c>
      <c r="K3458" s="1" t="str">
        <f>"３３５　　　　　　　　　　　　　　　　　"</f>
        <v>３３５　　　　　　　　　　　　　　　　　</v>
      </c>
      <c r="L3458" s="1"/>
    </row>
    <row r="3459" spans="1:12" ht="18" customHeight="1" x14ac:dyDescent="0.15">
      <c r="A3459" s="25">
        <v>3745</v>
      </c>
      <c r="B3459" s="25" t="s">
        <v>206</v>
      </c>
      <c r="C3459" s="25" t="s">
        <v>215</v>
      </c>
      <c r="D3459" s="25">
        <v>1</v>
      </c>
      <c r="E3459" s="25" t="s">
        <v>4</v>
      </c>
      <c r="F3459" s="38">
        <v>36800</v>
      </c>
      <c r="G3459" s="38" t="s">
        <v>667</v>
      </c>
      <c r="H3459" s="25" t="str">
        <f t="shared" si="110"/>
        <v>平成6年9月14日</v>
      </c>
      <c r="I3459" s="22">
        <f t="shared" si="111"/>
        <v>34591</v>
      </c>
      <c r="J3459" s="1" t="str">
        <f>"00743923"</f>
        <v>00743923</v>
      </c>
      <c r="K3459" s="1" t="str">
        <f>"３３６　　　　　　　　　　　　　　　　　"</f>
        <v>３３６　　　　　　　　　　　　　　　　　</v>
      </c>
      <c r="L3459" s="1"/>
    </row>
    <row r="3460" spans="1:12" ht="18" customHeight="1" x14ac:dyDescent="0.15">
      <c r="A3460" s="25">
        <v>3746</v>
      </c>
      <c r="B3460" s="25" t="s">
        <v>206</v>
      </c>
      <c r="C3460" s="25" t="s">
        <v>215</v>
      </c>
      <c r="D3460" s="25">
        <v>1</v>
      </c>
      <c r="E3460" s="25" t="s">
        <v>4</v>
      </c>
      <c r="F3460" s="38">
        <v>36800</v>
      </c>
      <c r="G3460" s="38" t="s">
        <v>667</v>
      </c>
      <c r="H3460" s="25" t="str">
        <f t="shared" si="110"/>
        <v>平成6年9月14日</v>
      </c>
      <c r="I3460" s="22">
        <f t="shared" si="111"/>
        <v>34591</v>
      </c>
      <c r="J3460" s="1" t="str">
        <f>"00743925"</f>
        <v>00743925</v>
      </c>
      <c r="K3460" s="1" t="str">
        <f>"３３９　　　　　　　　　　　　　　　　　"</f>
        <v>３３９　　　　　　　　　　　　　　　　　</v>
      </c>
      <c r="L3460" s="1"/>
    </row>
    <row r="3461" spans="1:12" ht="18" customHeight="1" x14ac:dyDescent="0.15">
      <c r="A3461" s="25">
        <v>3747</v>
      </c>
      <c r="B3461" s="25" t="s">
        <v>206</v>
      </c>
      <c r="C3461" s="25" t="s">
        <v>215</v>
      </c>
      <c r="D3461" s="25">
        <v>1</v>
      </c>
      <c r="E3461" s="25" t="s">
        <v>4</v>
      </c>
      <c r="F3461" s="38">
        <v>36800</v>
      </c>
      <c r="G3461" s="38" t="s">
        <v>667</v>
      </c>
      <c r="H3461" s="25" t="str">
        <f t="shared" si="110"/>
        <v>平成6年9月14日</v>
      </c>
      <c r="I3461" s="22">
        <f t="shared" si="111"/>
        <v>34591</v>
      </c>
      <c r="J3461" s="1" t="str">
        <f>"00743927"</f>
        <v>00743927</v>
      </c>
      <c r="K3461" s="1" t="str">
        <f>"３４１　　　　　　　　　　　　　　　　　"</f>
        <v>３４１　　　　　　　　　　　　　　　　　</v>
      </c>
      <c r="L3461" s="1"/>
    </row>
    <row r="3462" spans="1:12" ht="18" customHeight="1" x14ac:dyDescent="0.15">
      <c r="A3462" s="25">
        <v>3748</v>
      </c>
      <c r="B3462" s="25" t="s">
        <v>206</v>
      </c>
      <c r="C3462" s="25" t="s">
        <v>215</v>
      </c>
      <c r="D3462" s="25">
        <v>1</v>
      </c>
      <c r="E3462" s="25" t="s">
        <v>4</v>
      </c>
      <c r="F3462" s="38">
        <v>36800</v>
      </c>
      <c r="G3462" s="38" t="s">
        <v>667</v>
      </c>
      <c r="H3462" s="25" t="str">
        <f t="shared" si="110"/>
        <v>平成6年9月14日</v>
      </c>
      <c r="I3462" s="22">
        <f t="shared" si="111"/>
        <v>34591</v>
      </c>
      <c r="J3462" s="1" t="str">
        <f>"00743929"</f>
        <v>00743929</v>
      </c>
      <c r="K3462" s="1" t="str">
        <f>"３４２　　　　　　　　　　　　　　　　　"</f>
        <v>３４２　　　　　　　　　　　　　　　　　</v>
      </c>
      <c r="L3462" s="1"/>
    </row>
    <row r="3463" spans="1:12" ht="18" customHeight="1" x14ac:dyDescent="0.15">
      <c r="A3463" s="25">
        <v>3749</v>
      </c>
      <c r="B3463" s="25" t="s">
        <v>206</v>
      </c>
      <c r="C3463" s="25" t="s">
        <v>215</v>
      </c>
      <c r="D3463" s="25">
        <v>1</v>
      </c>
      <c r="E3463" s="25" t="s">
        <v>4</v>
      </c>
      <c r="F3463" s="38">
        <v>36800</v>
      </c>
      <c r="G3463" s="38" t="s">
        <v>667</v>
      </c>
      <c r="H3463" s="25" t="str">
        <f t="shared" si="110"/>
        <v>平成6年9月14日</v>
      </c>
      <c r="I3463" s="22">
        <f t="shared" si="111"/>
        <v>34591</v>
      </c>
      <c r="J3463" s="1" t="str">
        <f>"00743931"</f>
        <v>00743931</v>
      </c>
      <c r="K3463" s="1" t="str">
        <f>"３４３　　　　　　　　　　　　　　　　　"</f>
        <v>３４３　　　　　　　　　　　　　　　　　</v>
      </c>
      <c r="L3463" s="1"/>
    </row>
    <row r="3464" spans="1:12" ht="18" customHeight="1" x14ac:dyDescent="0.15">
      <c r="A3464" s="25">
        <v>3750</v>
      </c>
      <c r="B3464" s="25" t="s">
        <v>206</v>
      </c>
      <c r="C3464" s="25" t="s">
        <v>215</v>
      </c>
      <c r="D3464" s="25">
        <v>1</v>
      </c>
      <c r="E3464" s="25" t="s">
        <v>4</v>
      </c>
      <c r="F3464" s="38">
        <v>36800</v>
      </c>
      <c r="G3464" s="38" t="s">
        <v>667</v>
      </c>
      <c r="H3464" s="25" t="str">
        <f t="shared" si="110"/>
        <v>平成6年9月14日</v>
      </c>
      <c r="I3464" s="22">
        <f t="shared" si="111"/>
        <v>34591</v>
      </c>
      <c r="J3464" s="1" t="str">
        <f>"00743933"</f>
        <v>00743933</v>
      </c>
      <c r="K3464" s="1" t="str">
        <f>"３４４　　　　　　　　　　　　　　　　　"</f>
        <v>３４４　　　　　　　　　　　　　　　　　</v>
      </c>
      <c r="L3464" s="1"/>
    </row>
    <row r="3465" spans="1:12" ht="18" customHeight="1" x14ac:dyDescent="0.15">
      <c r="A3465" s="25">
        <v>3751</v>
      </c>
      <c r="B3465" s="25" t="s">
        <v>206</v>
      </c>
      <c r="C3465" s="25" t="s">
        <v>215</v>
      </c>
      <c r="D3465" s="25">
        <v>1</v>
      </c>
      <c r="E3465" s="25" t="s">
        <v>4</v>
      </c>
      <c r="F3465" s="38">
        <v>36800</v>
      </c>
      <c r="G3465" s="38" t="s">
        <v>667</v>
      </c>
      <c r="H3465" s="25" t="str">
        <f t="shared" si="110"/>
        <v>平成6年9月14日</v>
      </c>
      <c r="I3465" s="22">
        <f t="shared" si="111"/>
        <v>34591</v>
      </c>
      <c r="J3465" s="1" t="str">
        <f>"00743935"</f>
        <v>00743935</v>
      </c>
      <c r="K3465" s="1" t="str">
        <f>"３４５　　　　　　　　　　　　　　　　　"</f>
        <v>３４５　　　　　　　　　　　　　　　　　</v>
      </c>
      <c r="L3465" s="1"/>
    </row>
    <row r="3466" spans="1:12" ht="18" customHeight="1" x14ac:dyDescent="0.15">
      <c r="A3466" s="25">
        <v>3752</v>
      </c>
      <c r="B3466" s="25" t="s">
        <v>206</v>
      </c>
      <c r="C3466" s="25" t="s">
        <v>215</v>
      </c>
      <c r="D3466" s="25">
        <v>1</v>
      </c>
      <c r="E3466" s="25" t="s">
        <v>4</v>
      </c>
      <c r="F3466" s="38">
        <v>36800</v>
      </c>
      <c r="G3466" s="38" t="s">
        <v>667</v>
      </c>
      <c r="H3466" s="25" t="str">
        <f t="shared" si="110"/>
        <v>平成6年9月14日</v>
      </c>
      <c r="I3466" s="22">
        <f t="shared" si="111"/>
        <v>34591</v>
      </c>
      <c r="J3466" s="1" t="str">
        <f>"00743937"</f>
        <v>00743937</v>
      </c>
      <c r="K3466" s="1" t="str">
        <f>"３４６　　　　　　　　　　　　　　　　　"</f>
        <v>３４６　　　　　　　　　　　　　　　　　</v>
      </c>
      <c r="L3466" s="1"/>
    </row>
    <row r="3467" spans="1:12" ht="18" customHeight="1" x14ac:dyDescent="0.15">
      <c r="A3467" s="25">
        <v>3753</v>
      </c>
      <c r="B3467" s="25" t="s">
        <v>206</v>
      </c>
      <c r="C3467" s="25" t="s">
        <v>215</v>
      </c>
      <c r="D3467" s="25">
        <v>1</v>
      </c>
      <c r="E3467" s="25" t="s">
        <v>4</v>
      </c>
      <c r="F3467" s="38">
        <v>36800</v>
      </c>
      <c r="G3467" s="38" t="s">
        <v>667</v>
      </c>
      <c r="H3467" s="25" t="str">
        <f t="shared" si="110"/>
        <v>平成6年9月14日</v>
      </c>
      <c r="I3467" s="22">
        <f t="shared" si="111"/>
        <v>34591</v>
      </c>
      <c r="J3467" s="1" t="str">
        <f>"00743939"</f>
        <v>00743939</v>
      </c>
      <c r="K3467" s="1" t="str">
        <f>"３４７　　　　　　　　　　　　　　　　　"</f>
        <v>３４７　　　　　　　　　　　　　　　　　</v>
      </c>
      <c r="L3467" s="1"/>
    </row>
    <row r="3468" spans="1:12" ht="18" customHeight="1" x14ac:dyDescent="0.15">
      <c r="A3468" s="25">
        <v>3754</v>
      </c>
      <c r="B3468" s="25" t="s">
        <v>206</v>
      </c>
      <c r="C3468" s="25" t="s">
        <v>215</v>
      </c>
      <c r="D3468" s="25">
        <v>1</v>
      </c>
      <c r="E3468" s="25" t="s">
        <v>4</v>
      </c>
      <c r="F3468" s="38">
        <v>36800</v>
      </c>
      <c r="G3468" s="38" t="s">
        <v>667</v>
      </c>
      <c r="H3468" s="25" t="str">
        <f t="shared" si="110"/>
        <v>平成6年9月14日</v>
      </c>
      <c r="I3468" s="22">
        <f t="shared" si="111"/>
        <v>34591</v>
      </c>
      <c r="J3468" s="1" t="str">
        <f>"00743941"</f>
        <v>00743941</v>
      </c>
      <c r="K3468" s="1" t="str">
        <f>"３４８　　　　　　　　　　　　　　　　　"</f>
        <v>３４８　　　　　　　　　　　　　　　　　</v>
      </c>
      <c r="L3468" s="1"/>
    </row>
    <row r="3469" spans="1:12" ht="18" customHeight="1" x14ac:dyDescent="0.15">
      <c r="A3469" s="25">
        <v>3755</v>
      </c>
      <c r="B3469" s="25" t="s">
        <v>206</v>
      </c>
      <c r="C3469" s="25" t="s">
        <v>215</v>
      </c>
      <c r="D3469" s="25">
        <v>1</v>
      </c>
      <c r="E3469" s="25" t="s">
        <v>4</v>
      </c>
      <c r="F3469" s="38">
        <v>36800</v>
      </c>
      <c r="G3469" s="38" t="s">
        <v>667</v>
      </c>
      <c r="H3469" s="25" t="str">
        <f t="shared" si="110"/>
        <v>平成6年9月14日</v>
      </c>
      <c r="I3469" s="22">
        <f t="shared" si="111"/>
        <v>34591</v>
      </c>
      <c r="J3469" s="1" t="str">
        <f>"00743943"</f>
        <v>00743943</v>
      </c>
      <c r="K3469" s="1" t="str">
        <f>"３４９　　　　　　　　　　　　　　　　　"</f>
        <v>３４９　　　　　　　　　　　　　　　　　</v>
      </c>
      <c r="L3469" s="1"/>
    </row>
    <row r="3470" spans="1:12" ht="18" customHeight="1" x14ac:dyDescent="0.15">
      <c r="A3470" s="25">
        <v>3756</v>
      </c>
      <c r="B3470" s="25" t="s">
        <v>206</v>
      </c>
      <c r="C3470" s="25" t="s">
        <v>215</v>
      </c>
      <c r="D3470" s="25">
        <v>1</v>
      </c>
      <c r="E3470" s="25" t="s">
        <v>4</v>
      </c>
      <c r="F3470" s="38">
        <v>36800</v>
      </c>
      <c r="G3470" s="38" t="s">
        <v>667</v>
      </c>
      <c r="H3470" s="25" t="str">
        <f t="shared" si="110"/>
        <v>平成6年9月14日</v>
      </c>
      <c r="I3470" s="22">
        <f t="shared" si="111"/>
        <v>34591</v>
      </c>
      <c r="J3470" s="1" t="str">
        <f>"00743945"</f>
        <v>00743945</v>
      </c>
      <c r="K3470" s="1" t="str">
        <f>"３５０　　　　　　　　　　　　　　　　　"</f>
        <v>３５０　　　　　　　　　　　　　　　　　</v>
      </c>
      <c r="L3470" s="1"/>
    </row>
    <row r="3471" spans="1:12" ht="18" customHeight="1" x14ac:dyDescent="0.15">
      <c r="A3471" s="25">
        <v>3757</v>
      </c>
      <c r="B3471" s="25" t="s">
        <v>206</v>
      </c>
      <c r="C3471" s="25" t="s">
        <v>215</v>
      </c>
      <c r="D3471" s="25">
        <v>1</v>
      </c>
      <c r="E3471" s="25" t="s">
        <v>4</v>
      </c>
      <c r="F3471" s="38">
        <v>36800</v>
      </c>
      <c r="G3471" s="38" t="s">
        <v>667</v>
      </c>
      <c r="H3471" s="25" t="str">
        <f t="shared" ref="H3471:H3534" si="112">"平成6年9月14日"</f>
        <v>平成6年9月14日</v>
      </c>
      <c r="I3471" s="22">
        <f t="shared" si="111"/>
        <v>34591</v>
      </c>
      <c r="J3471" s="1" t="str">
        <f>"00743947"</f>
        <v>00743947</v>
      </c>
      <c r="K3471" s="1" t="str">
        <f>"３５１　　　　　　　　　　　　　　　　　"</f>
        <v>３５１　　　　　　　　　　　　　　　　　</v>
      </c>
      <c r="L3471" s="1"/>
    </row>
    <row r="3472" spans="1:12" ht="18" customHeight="1" x14ac:dyDescent="0.15">
      <c r="A3472" s="25">
        <v>3758</v>
      </c>
      <c r="B3472" s="25" t="s">
        <v>206</v>
      </c>
      <c r="C3472" s="25" t="s">
        <v>215</v>
      </c>
      <c r="D3472" s="25">
        <v>1</v>
      </c>
      <c r="E3472" s="25" t="s">
        <v>4</v>
      </c>
      <c r="F3472" s="38">
        <v>36800</v>
      </c>
      <c r="G3472" s="38" t="s">
        <v>667</v>
      </c>
      <c r="H3472" s="25" t="str">
        <f t="shared" si="112"/>
        <v>平成6年9月14日</v>
      </c>
      <c r="I3472" s="22">
        <f t="shared" si="111"/>
        <v>34591</v>
      </c>
      <c r="J3472" s="1" t="str">
        <f>"00743949"</f>
        <v>00743949</v>
      </c>
      <c r="K3472" s="1" t="str">
        <f>"３５２　　　　　　　　　　　　　　　　　"</f>
        <v>３５２　　　　　　　　　　　　　　　　　</v>
      </c>
      <c r="L3472" s="1"/>
    </row>
    <row r="3473" spans="1:12" ht="18" customHeight="1" x14ac:dyDescent="0.15">
      <c r="A3473" s="25">
        <v>3759</v>
      </c>
      <c r="B3473" s="25" t="s">
        <v>206</v>
      </c>
      <c r="C3473" s="25" t="s">
        <v>215</v>
      </c>
      <c r="D3473" s="25">
        <v>1</v>
      </c>
      <c r="E3473" s="25" t="s">
        <v>4</v>
      </c>
      <c r="F3473" s="38">
        <v>36800</v>
      </c>
      <c r="G3473" s="38" t="s">
        <v>667</v>
      </c>
      <c r="H3473" s="25" t="str">
        <f t="shared" si="112"/>
        <v>平成6年9月14日</v>
      </c>
      <c r="I3473" s="22">
        <f t="shared" si="111"/>
        <v>34591</v>
      </c>
      <c r="J3473" s="1" t="str">
        <f>"00743951"</f>
        <v>00743951</v>
      </c>
      <c r="K3473" s="1" t="str">
        <f>"３５３　　　　　　　　　　　　　　　　　"</f>
        <v>３５３　　　　　　　　　　　　　　　　　</v>
      </c>
      <c r="L3473" s="1"/>
    </row>
    <row r="3474" spans="1:12" ht="18" customHeight="1" x14ac:dyDescent="0.15">
      <c r="A3474" s="25">
        <v>3760</v>
      </c>
      <c r="B3474" s="25" t="s">
        <v>206</v>
      </c>
      <c r="C3474" s="25" t="s">
        <v>216</v>
      </c>
      <c r="D3474" s="25">
        <v>1</v>
      </c>
      <c r="E3474" s="25" t="s">
        <v>4</v>
      </c>
      <c r="F3474" s="38">
        <v>82400</v>
      </c>
      <c r="G3474" s="38" t="s">
        <v>667</v>
      </c>
      <c r="H3474" s="25" t="str">
        <f t="shared" si="112"/>
        <v>平成6年9月14日</v>
      </c>
      <c r="I3474" s="22">
        <f t="shared" ref="I3474:I3537" si="113">DATEVALUE(H3474)</f>
        <v>34591</v>
      </c>
      <c r="J3474" s="1" t="str">
        <f>"00743953"</f>
        <v>00743953</v>
      </c>
      <c r="K3474" s="1" t="str">
        <f>"３５４　　　　　　　　　　　　　　　　　"</f>
        <v>３５４　　　　　　　　　　　　　　　　　</v>
      </c>
      <c r="L3474" s="1"/>
    </row>
    <row r="3475" spans="1:12" ht="18" customHeight="1" x14ac:dyDescent="0.15">
      <c r="A3475" s="25">
        <v>3761</v>
      </c>
      <c r="B3475" s="25" t="s">
        <v>206</v>
      </c>
      <c r="C3475" s="25" t="s">
        <v>216</v>
      </c>
      <c r="D3475" s="25">
        <v>1</v>
      </c>
      <c r="E3475" s="25" t="s">
        <v>4</v>
      </c>
      <c r="F3475" s="38">
        <v>82400</v>
      </c>
      <c r="G3475" s="38" t="s">
        <v>667</v>
      </c>
      <c r="H3475" s="25" t="str">
        <f t="shared" si="112"/>
        <v>平成6年9月14日</v>
      </c>
      <c r="I3475" s="22">
        <f t="shared" si="113"/>
        <v>34591</v>
      </c>
      <c r="J3475" s="1" t="str">
        <f>"00743955"</f>
        <v>00743955</v>
      </c>
      <c r="K3475" s="1" t="str">
        <f>"３５５　　　　　　　　　　　　　　　　　"</f>
        <v>３５５　　　　　　　　　　　　　　　　　</v>
      </c>
      <c r="L3475" s="1"/>
    </row>
    <row r="3476" spans="1:12" ht="18" customHeight="1" x14ac:dyDescent="0.15">
      <c r="A3476" s="25">
        <v>3762</v>
      </c>
      <c r="B3476" s="25" t="s">
        <v>206</v>
      </c>
      <c r="C3476" s="25" t="s">
        <v>217</v>
      </c>
      <c r="D3476" s="25">
        <v>1</v>
      </c>
      <c r="E3476" s="25" t="s">
        <v>4</v>
      </c>
      <c r="F3476" s="38">
        <v>41200</v>
      </c>
      <c r="G3476" s="38" t="s">
        <v>667</v>
      </c>
      <c r="H3476" s="25" t="str">
        <f t="shared" si="112"/>
        <v>平成6年9月14日</v>
      </c>
      <c r="I3476" s="22">
        <f t="shared" si="113"/>
        <v>34591</v>
      </c>
      <c r="J3476" s="1" t="str">
        <f>"00743957"</f>
        <v>00743957</v>
      </c>
      <c r="K3476" s="1" t="str">
        <f>"３５６　　　　　　　　　　　　　　　　　"</f>
        <v>３５６　　　　　　　　　　　　　　　　　</v>
      </c>
      <c r="L3476" s="1"/>
    </row>
    <row r="3477" spans="1:12" ht="18" customHeight="1" x14ac:dyDescent="0.15">
      <c r="A3477" s="25">
        <v>3763</v>
      </c>
      <c r="B3477" s="25" t="s">
        <v>206</v>
      </c>
      <c r="C3477" s="25" t="s">
        <v>217</v>
      </c>
      <c r="D3477" s="25">
        <v>1</v>
      </c>
      <c r="E3477" s="25" t="s">
        <v>4</v>
      </c>
      <c r="F3477" s="38">
        <v>41200</v>
      </c>
      <c r="G3477" s="38" t="s">
        <v>667</v>
      </c>
      <c r="H3477" s="25" t="str">
        <f t="shared" si="112"/>
        <v>平成6年9月14日</v>
      </c>
      <c r="I3477" s="22">
        <f t="shared" si="113"/>
        <v>34591</v>
      </c>
      <c r="J3477" s="1" t="str">
        <f>"00743959"</f>
        <v>00743959</v>
      </c>
      <c r="K3477" s="1" t="str">
        <f>"３５７　　　　　　　　　　　　　　　　　"</f>
        <v>３５７　　　　　　　　　　　　　　　　　</v>
      </c>
      <c r="L3477" s="1"/>
    </row>
    <row r="3478" spans="1:12" ht="18" customHeight="1" x14ac:dyDescent="0.15">
      <c r="A3478" s="25">
        <v>3791</v>
      </c>
      <c r="B3478" s="25" t="s">
        <v>222</v>
      </c>
      <c r="C3478" s="25" t="s">
        <v>228</v>
      </c>
      <c r="D3478" s="25">
        <v>1</v>
      </c>
      <c r="E3478" s="25" t="s">
        <v>4</v>
      </c>
      <c r="F3478" s="38">
        <v>20000</v>
      </c>
      <c r="G3478" s="38" t="s">
        <v>667</v>
      </c>
      <c r="H3478" s="25" t="str">
        <f t="shared" si="112"/>
        <v>平成6年9月14日</v>
      </c>
      <c r="I3478" s="22">
        <f t="shared" si="113"/>
        <v>34591</v>
      </c>
      <c r="J3478" s="1" t="str">
        <f>"00744018"</f>
        <v>00744018</v>
      </c>
      <c r="K3478" s="1" t="str">
        <f>"３２５　　　　　　　　　　　　　　　　　"</f>
        <v>３２５　　　　　　　　　　　　　　　　　</v>
      </c>
      <c r="L3478" s="1"/>
    </row>
    <row r="3479" spans="1:12" ht="18" customHeight="1" x14ac:dyDescent="0.15">
      <c r="A3479" s="25">
        <v>3792</v>
      </c>
      <c r="B3479" s="25" t="s">
        <v>222</v>
      </c>
      <c r="C3479" s="25" t="s">
        <v>228</v>
      </c>
      <c r="D3479" s="25">
        <v>1</v>
      </c>
      <c r="E3479" s="25" t="s">
        <v>4</v>
      </c>
      <c r="F3479" s="38">
        <v>20000</v>
      </c>
      <c r="G3479" s="38" t="s">
        <v>667</v>
      </c>
      <c r="H3479" s="25" t="str">
        <f t="shared" si="112"/>
        <v>平成6年9月14日</v>
      </c>
      <c r="I3479" s="22">
        <f t="shared" si="113"/>
        <v>34591</v>
      </c>
      <c r="J3479" s="1" t="str">
        <f>"00744021"</f>
        <v>00744021</v>
      </c>
      <c r="K3479" s="1" t="str">
        <f>"３２６　　　　　　　　　　　　　　　　　"</f>
        <v>３２６　　　　　　　　　　　　　　　　　</v>
      </c>
      <c r="L3479" s="1"/>
    </row>
    <row r="3480" spans="1:12" ht="18" customHeight="1" x14ac:dyDescent="0.15">
      <c r="A3480" s="25">
        <v>3793</v>
      </c>
      <c r="B3480" s="25" t="s">
        <v>222</v>
      </c>
      <c r="C3480" s="25" t="s">
        <v>228</v>
      </c>
      <c r="D3480" s="25">
        <v>1</v>
      </c>
      <c r="E3480" s="25" t="s">
        <v>4</v>
      </c>
      <c r="F3480" s="38">
        <v>20000</v>
      </c>
      <c r="G3480" s="38" t="s">
        <v>667</v>
      </c>
      <c r="H3480" s="25" t="str">
        <f t="shared" si="112"/>
        <v>平成6年9月14日</v>
      </c>
      <c r="I3480" s="22">
        <f t="shared" si="113"/>
        <v>34591</v>
      </c>
      <c r="J3480" s="1" t="str">
        <f>"00744022"</f>
        <v>00744022</v>
      </c>
      <c r="K3480" s="1" t="str">
        <f>"３２７　　　　　　　　　　　　　　　　　"</f>
        <v>３２７　　　　　　　　　　　　　　　　　</v>
      </c>
      <c r="L3480" s="1"/>
    </row>
    <row r="3481" spans="1:12" ht="18" customHeight="1" x14ac:dyDescent="0.15">
      <c r="A3481" s="25">
        <v>3794</v>
      </c>
      <c r="B3481" s="25" t="s">
        <v>222</v>
      </c>
      <c r="C3481" s="25" t="s">
        <v>228</v>
      </c>
      <c r="D3481" s="25">
        <v>1</v>
      </c>
      <c r="E3481" s="25" t="s">
        <v>4</v>
      </c>
      <c r="F3481" s="38">
        <v>20000</v>
      </c>
      <c r="G3481" s="38" t="s">
        <v>667</v>
      </c>
      <c r="H3481" s="25" t="str">
        <f t="shared" si="112"/>
        <v>平成6年9月14日</v>
      </c>
      <c r="I3481" s="22">
        <f t="shared" si="113"/>
        <v>34591</v>
      </c>
      <c r="J3481" s="1" t="str">
        <f>"00744024"</f>
        <v>00744024</v>
      </c>
      <c r="K3481" s="1" t="str">
        <f>"３２８　　　　　　　　　　　　　　　　　"</f>
        <v>３２８　　　　　　　　　　　　　　　　　</v>
      </c>
      <c r="L3481" s="1"/>
    </row>
    <row r="3482" spans="1:12" ht="18" customHeight="1" x14ac:dyDescent="0.15">
      <c r="A3482" s="25">
        <v>3795</v>
      </c>
      <c r="B3482" s="25" t="s">
        <v>222</v>
      </c>
      <c r="C3482" s="25" t="s">
        <v>228</v>
      </c>
      <c r="D3482" s="25">
        <v>1</v>
      </c>
      <c r="E3482" s="25" t="s">
        <v>4</v>
      </c>
      <c r="F3482" s="38">
        <v>20000</v>
      </c>
      <c r="G3482" s="38" t="s">
        <v>667</v>
      </c>
      <c r="H3482" s="25" t="str">
        <f t="shared" si="112"/>
        <v>平成6年9月14日</v>
      </c>
      <c r="I3482" s="22">
        <f t="shared" si="113"/>
        <v>34591</v>
      </c>
      <c r="J3482" s="1" t="str">
        <f>"00744027"</f>
        <v>00744027</v>
      </c>
      <c r="K3482" s="1" t="str">
        <f>"３２９　　　　　　　　　　　　　　　　　"</f>
        <v>３２９　　　　　　　　　　　　　　　　　</v>
      </c>
      <c r="L3482" s="1"/>
    </row>
    <row r="3483" spans="1:12" ht="18" customHeight="1" x14ac:dyDescent="0.15">
      <c r="A3483" s="25">
        <v>3796</v>
      </c>
      <c r="B3483" s="25" t="s">
        <v>222</v>
      </c>
      <c r="C3483" s="25" t="s">
        <v>228</v>
      </c>
      <c r="D3483" s="25">
        <v>1</v>
      </c>
      <c r="E3483" s="25" t="s">
        <v>4</v>
      </c>
      <c r="F3483" s="38">
        <v>20000</v>
      </c>
      <c r="G3483" s="38" t="s">
        <v>667</v>
      </c>
      <c r="H3483" s="25" t="str">
        <f t="shared" si="112"/>
        <v>平成6年9月14日</v>
      </c>
      <c r="I3483" s="22">
        <f t="shared" si="113"/>
        <v>34591</v>
      </c>
      <c r="J3483" s="1" t="str">
        <f>"00744029"</f>
        <v>00744029</v>
      </c>
      <c r="K3483" s="1" t="str">
        <f>"３３０　　　　　　　　　　　　　　　　　"</f>
        <v>３３０　　　　　　　　　　　　　　　　　</v>
      </c>
      <c r="L3483" s="1"/>
    </row>
    <row r="3484" spans="1:12" ht="18" customHeight="1" x14ac:dyDescent="0.15">
      <c r="A3484" s="25">
        <v>3797</v>
      </c>
      <c r="B3484" s="25" t="s">
        <v>222</v>
      </c>
      <c r="C3484" s="25" t="s">
        <v>228</v>
      </c>
      <c r="D3484" s="25">
        <v>1</v>
      </c>
      <c r="E3484" s="25" t="s">
        <v>4</v>
      </c>
      <c r="F3484" s="38">
        <v>20000</v>
      </c>
      <c r="G3484" s="38" t="s">
        <v>667</v>
      </c>
      <c r="H3484" s="25" t="str">
        <f t="shared" si="112"/>
        <v>平成6年9月14日</v>
      </c>
      <c r="I3484" s="22">
        <f t="shared" si="113"/>
        <v>34591</v>
      </c>
      <c r="J3484" s="1" t="str">
        <f>"00744030"</f>
        <v>00744030</v>
      </c>
      <c r="K3484" s="1" t="str">
        <f>"３３１　　　　　　　　　　　　　　　　　"</f>
        <v>３３１　　　　　　　　　　　　　　　　　</v>
      </c>
      <c r="L3484" s="1"/>
    </row>
    <row r="3485" spans="1:12" ht="18" customHeight="1" x14ac:dyDescent="0.15">
      <c r="A3485" s="25">
        <v>3798</v>
      </c>
      <c r="B3485" s="25" t="s">
        <v>222</v>
      </c>
      <c r="C3485" s="25" t="s">
        <v>228</v>
      </c>
      <c r="D3485" s="25">
        <v>1</v>
      </c>
      <c r="E3485" s="25" t="s">
        <v>4</v>
      </c>
      <c r="F3485" s="38">
        <v>20000</v>
      </c>
      <c r="G3485" s="38" t="s">
        <v>667</v>
      </c>
      <c r="H3485" s="25" t="str">
        <f t="shared" si="112"/>
        <v>平成6年9月14日</v>
      </c>
      <c r="I3485" s="22">
        <f t="shared" si="113"/>
        <v>34591</v>
      </c>
      <c r="J3485" s="1" t="str">
        <f>"00744033"</f>
        <v>00744033</v>
      </c>
      <c r="K3485" s="1" t="str">
        <f>"３３２　　　　　　　　　　　　　　　　　"</f>
        <v>３３２　　　　　　　　　　　　　　　　　</v>
      </c>
      <c r="L3485" s="1"/>
    </row>
    <row r="3486" spans="1:12" ht="18" customHeight="1" x14ac:dyDescent="0.15">
      <c r="A3486" s="25">
        <v>3799</v>
      </c>
      <c r="B3486" s="25" t="s">
        <v>222</v>
      </c>
      <c r="C3486" s="25" t="s">
        <v>228</v>
      </c>
      <c r="D3486" s="25">
        <v>1</v>
      </c>
      <c r="E3486" s="25" t="s">
        <v>4</v>
      </c>
      <c r="F3486" s="38">
        <v>20000</v>
      </c>
      <c r="G3486" s="38" t="s">
        <v>667</v>
      </c>
      <c r="H3486" s="25" t="str">
        <f t="shared" si="112"/>
        <v>平成6年9月14日</v>
      </c>
      <c r="I3486" s="22">
        <f t="shared" si="113"/>
        <v>34591</v>
      </c>
      <c r="J3486" s="1" t="str">
        <f>"00744035"</f>
        <v>00744035</v>
      </c>
      <c r="K3486" s="1" t="str">
        <f>"３３３　　　　　　　　　　　　　　　　　"</f>
        <v>３３３　　　　　　　　　　　　　　　　　</v>
      </c>
      <c r="L3486" s="1"/>
    </row>
    <row r="3487" spans="1:12" ht="18" customHeight="1" x14ac:dyDescent="0.15">
      <c r="A3487" s="25">
        <v>3800</v>
      </c>
      <c r="B3487" s="25" t="s">
        <v>222</v>
      </c>
      <c r="C3487" s="25" t="s">
        <v>228</v>
      </c>
      <c r="D3487" s="25">
        <v>1</v>
      </c>
      <c r="E3487" s="25" t="s">
        <v>4</v>
      </c>
      <c r="F3487" s="38">
        <v>20000</v>
      </c>
      <c r="G3487" s="38" t="s">
        <v>667</v>
      </c>
      <c r="H3487" s="25" t="str">
        <f t="shared" si="112"/>
        <v>平成6年9月14日</v>
      </c>
      <c r="I3487" s="22">
        <f t="shared" si="113"/>
        <v>34591</v>
      </c>
      <c r="J3487" s="1" t="str">
        <f>"00744036"</f>
        <v>00744036</v>
      </c>
      <c r="K3487" s="1" t="str">
        <f>"３３４　　　　　　　　　　　　　　　　　"</f>
        <v>３３４　　　　　　　　　　　　　　　　　</v>
      </c>
      <c r="L3487" s="1"/>
    </row>
    <row r="3488" spans="1:12" ht="18" customHeight="1" x14ac:dyDescent="0.15">
      <c r="A3488" s="25">
        <v>3819</v>
      </c>
      <c r="B3488" s="25" t="s">
        <v>67</v>
      </c>
      <c r="C3488" s="25" t="s">
        <v>233</v>
      </c>
      <c r="D3488" s="25">
        <v>1</v>
      </c>
      <c r="E3488" s="25" t="s">
        <v>4</v>
      </c>
      <c r="F3488" s="38">
        <v>210000</v>
      </c>
      <c r="G3488" s="38" t="s">
        <v>667</v>
      </c>
      <c r="H3488" s="25" t="str">
        <f t="shared" si="112"/>
        <v>平成6年9月14日</v>
      </c>
      <c r="I3488" s="22">
        <f t="shared" si="113"/>
        <v>34591</v>
      </c>
      <c r="J3488" s="1" t="str">
        <f>"00744085"</f>
        <v>00744085</v>
      </c>
      <c r="K3488" s="1" t="str">
        <f>"３５３　　　　　　　　　　　　　　　　　"</f>
        <v>３５３　　　　　　　　　　　　　　　　　</v>
      </c>
      <c r="L3488" s="1"/>
    </row>
    <row r="3489" spans="1:12" ht="18" customHeight="1" x14ac:dyDescent="0.15">
      <c r="A3489" s="25">
        <v>3820</v>
      </c>
      <c r="B3489" s="25" t="s">
        <v>67</v>
      </c>
      <c r="C3489" s="25" t="s">
        <v>233</v>
      </c>
      <c r="D3489" s="25">
        <v>1</v>
      </c>
      <c r="E3489" s="25" t="s">
        <v>4</v>
      </c>
      <c r="F3489" s="38">
        <v>210000</v>
      </c>
      <c r="G3489" s="38" t="s">
        <v>667</v>
      </c>
      <c r="H3489" s="25" t="str">
        <f t="shared" si="112"/>
        <v>平成6年9月14日</v>
      </c>
      <c r="I3489" s="22">
        <f t="shared" si="113"/>
        <v>34591</v>
      </c>
      <c r="J3489" s="1" t="str">
        <f>"00744087"</f>
        <v>00744087</v>
      </c>
      <c r="K3489" s="1" t="str">
        <f>"３５４　　　　　　　　　　　　　　　　　"</f>
        <v>３５４　　　　　　　　　　　　　　　　　</v>
      </c>
      <c r="L3489" s="1"/>
    </row>
    <row r="3490" spans="1:12" ht="18" customHeight="1" x14ac:dyDescent="0.15">
      <c r="A3490" s="25">
        <v>3821</v>
      </c>
      <c r="B3490" s="25" t="s">
        <v>67</v>
      </c>
      <c r="C3490" s="25" t="s">
        <v>233</v>
      </c>
      <c r="D3490" s="25">
        <v>1</v>
      </c>
      <c r="E3490" s="25" t="s">
        <v>4</v>
      </c>
      <c r="F3490" s="38">
        <v>300000</v>
      </c>
      <c r="G3490" s="38" t="s">
        <v>667</v>
      </c>
      <c r="H3490" s="25" t="str">
        <f t="shared" si="112"/>
        <v>平成6年9月14日</v>
      </c>
      <c r="I3490" s="22">
        <f t="shared" si="113"/>
        <v>34591</v>
      </c>
      <c r="J3490" s="1" t="str">
        <f>"00744089"</f>
        <v>00744089</v>
      </c>
      <c r="K3490" s="1" t="str">
        <f>"３５５　　　　　　　　　　　　　　　　　"</f>
        <v>３５５　　　　　　　　　　　　　　　　　</v>
      </c>
      <c r="L3490" s="1"/>
    </row>
    <row r="3491" spans="1:12" ht="18" customHeight="1" x14ac:dyDescent="0.15">
      <c r="A3491" s="25">
        <v>3822</v>
      </c>
      <c r="B3491" s="25" t="s">
        <v>67</v>
      </c>
      <c r="C3491" s="25" t="s">
        <v>233</v>
      </c>
      <c r="D3491" s="25">
        <v>1</v>
      </c>
      <c r="E3491" s="25" t="s">
        <v>4</v>
      </c>
      <c r="F3491" s="38">
        <v>200000</v>
      </c>
      <c r="G3491" s="38" t="s">
        <v>667</v>
      </c>
      <c r="H3491" s="25" t="str">
        <f t="shared" si="112"/>
        <v>平成6年9月14日</v>
      </c>
      <c r="I3491" s="22">
        <f t="shared" si="113"/>
        <v>34591</v>
      </c>
      <c r="J3491" s="1" t="str">
        <f>"00744091"</f>
        <v>00744091</v>
      </c>
      <c r="K3491" s="1" t="str">
        <f>"３５６　　　　　　　　　　　　　　　　　"</f>
        <v>３５６　　　　　　　　　　　　　　　　　</v>
      </c>
      <c r="L3491" s="1"/>
    </row>
    <row r="3492" spans="1:12" ht="18" customHeight="1" x14ac:dyDescent="0.15">
      <c r="A3492" s="25">
        <v>3823</v>
      </c>
      <c r="B3492" s="25" t="s">
        <v>67</v>
      </c>
      <c r="C3492" s="25" t="s">
        <v>233</v>
      </c>
      <c r="D3492" s="25">
        <v>1</v>
      </c>
      <c r="E3492" s="25" t="s">
        <v>4</v>
      </c>
      <c r="F3492" s="38">
        <v>250000</v>
      </c>
      <c r="G3492" s="38" t="s">
        <v>667</v>
      </c>
      <c r="H3492" s="25" t="str">
        <f t="shared" si="112"/>
        <v>平成6年9月14日</v>
      </c>
      <c r="I3492" s="22">
        <f t="shared" si="113"/>
        <v>34591</v>
      </c>
      <c r="J3492" s="1" t="str">
        <f>"00744093"</f>
        <v>00744093</v>
      </c>
      <c r="K3492" s="1" t="str">
        <f>"３５７　　　　　　　　　　　　　　　　　"</f>
        <v>３５７　　　　　　　　　　　　　　　　　</v>
      </c>
      <c r="L3492" s="1"/>
    </row>
    <row r="3493" spans="1:12" ht="18" customHeight="1" x14ac:dyDescent="0.15">
      <c r="A3493" s="25">
        <v>3824</v>
      </c>
      <c r="B3493" s="25" t="s">
        <v>67</v>
      </c>
      <c r="C3493" s="25" t="s">
        <v>233</v>
      </c>
      <c r="D3493" s="25">
        <v>1</v>
      </c>
      <c r="E3493" s="25" t="s">
        <v>4</v>
      </c>
      <c r="F3493" s="38">
        <v>250000</v>
      </c>
      <c r="G3493" s="38" t="s">
        <v>667</v>
      </c>
      <c r="H3493" s="25" t="str">
        <f t="shared" si="112"/>
        <v>平成6年9月14日</v>
      </c>
      <c r="I3493" s="22">
        <f t="shared" si="113"/>
        <v>34591</v>
      </c>
      <c r="J3493" s="1" t="str">
        <f>"00744095"</f>
        <v>00744095</v>
      </c>
      <c r="K3493" s="1" t="str">
        <f>"３５８　　　　　　　　　　　　　　　　　"</f>
        <v>３５８　　　　　　　　　　　　　　　　　</v>
      </c>
      <c r="L3493" s="1"/>
    </row>
    <row r="3494" spans="1:12" ht="18" customHeight="1" x14ac:dyDescent="0.15">
      <c r="A3494" s="25">
        <v>3825</v>
      </c>
      <c r="B3494" s="25" t="s">
        <v>67</v>
      </c>
      <c r="C3494" s="25" t="s">
        <v>233</v>
      </c>
      <c r="D3494" s="25">
        <v>1</v>
      </c>
      <c r="E3494" s="25" t="s">
        <v>4</v>
      </c>
      <c r="F3494" s="38">
        <v>300000</v>
      </c>
      <c r="G3494" s="38" t="s">
        <v>667</v>
      </c>
      <c r="H3494" s="25" t="str">
        <f t="shared" si="112"/>
        <v>平成6年9月14日</v>
      </c>
      <c r="I3494" s="22">
        <f t="shared" si="113"/>
        <v>34591</v>
      </c>
      <c r="J3494" s="1" t="str">
        <f>"00744097"</f>
        <v>00744097</v>
      </c>
      <c r="K3494" s="1" t="str">
        <f>"３５９　　　　　　　　　　　　　　　　　"</f>
        <v>３５９　　　　　　　　　　　　　　　　　</v>
      </c>
      <c r="L3494" s="1"/>
    </row>
    <row r="3495" spans="1:12" ht="18" customHeight="1" x14ac:dyDescent="0.15">
      <c r="A3495" s="25">
        <v>3826</v>
      </c>
      <c r="B3495" s="25" t="s">
        <v>67</v>
      </c>
      <c r="C3495" s="25" t="s">
        <v>233</v>
      </c>
      <c r="D3495" s="25">
        <v>1</v>
      </c>
      <c r="E3495" s="25" t="s">
        <v>4</v>
      </c>
      <c r="F3495" s="38">
        <v>480000</v>
      </c>
      <c r="G3495" s="38" t="s">
        <v>667</v>
      </c>
      <c r="H3495" s="25" t="str">
        <f t="shared" si="112"/>
        <v>平成6年9月14日</v>
      </c>
      <c r="I3495" s="22">
        <f t="shared" si="113"/>
        <v>34591</v>
      </c>
      <c r="J3495" s="1" t="str">
        <f>"00744099"</f>
        <v>00744099</v>
      </c>
      <c r="K3495" s="1" t="str">
        <f>"３６０　　　　　　　　　　　　　　　　　"</f>
        <v>３６０　　　　　　　　　　　　　　　　　</v>
      </c>
      <c r="L3495" s="1"/>
    </row>
    <row r="3496" spans="1:12" ht="18" customHeight="1" x14ac:dyDescent="0.15">
      <c r="A3496" s="25">
        <v>3827</v>
      </c>
      <c r="B3496" s="25" t="s">
        <v>67</v>
      </c>
      <c r="C3496" s="25" t="s">
        <v>233</v>
      </c>
      <c r="D3496" s="25">
        <v>1</v>
      </c>
      <c r="E3496" s="25" t="s">
        <v>4</v>
      </c>
      <c r="F3496" s="38">
        <v>317000</v>
      </c>
      <c r="G3496" s="38" t="s">
        <v>667</v>
      </c>
      <c r="H3496" s="25" t="str">
        <f t="shared" si="112"/>
        <v>平成6年9月14日</v>
      </c>
      <c r="I3496" s="22">
        <f t="shared" si="113"/>
        <v>34591</v>
      </c>
      <c r="J3496" s="1" t="str">
        <f>"00744101"</f>
        <v>00744101</v>
      </c>
      <c r="K3496" s="1" t="str">
        <f>"３６１　　　　　　　　　　　　　　　　　"</f>
        <v>３６１　　　　　　　　　　　　　　　　　</v>
      </c>
      <c r="L3496" s="1"/>
    </row>
    <row r="3497" spans="1:12" ht="18" customHeight="1" x14ac:dyDescent="0.15">
      <c r="A3497" s="25">
        <v>3828</v>
      </c>
      <c r="B3497" s="25" t="s">
        <v>67</v>
      </c>
      <c r="C3497" s="25" t="s">
        <v>233</v>
      </c>
      <c r="D3497" s="25">
        <v>1</v>
      </c>
      <c r="E3497" s="25" t="s">
        <v>4</v>
      </c>
      <c r="F3497" s="38">
        <v>317000</v>
      </c>
      <c r="G3497" s="38" t="s">
        <v>667</v>
      </c>
      <c r="H3497" s="25" t="str">
        <f t="shared" si="112"/>
        <v>平成6年9月14日</v>
      </c>
      <c r="I3497" s="22">
        <f t="shared" si="113"/>
        <v>34591</v>
      </c>
      <c r="J3497" s="1" t="str">
        <f>"00744103"</f>
        <v>00744103</v>
      </c>
      <c r="K3497" s="1" t="str">
        <f>"３６２　　　　　　　　　　　　　　　　　"</f>
        <v>３６２　　　　　　　　　　　　　　　　　</v>
      </c>
      <c r="L3497" s="1"/>
    </row>
    <row r="3498" spans="1:12" ht="18" customHeight="1" x14ac:dyDescent="0.15">
      <c r="A3498" s="25">
        <v>3829</v>
      </c>
      <c r="B3498" s="25" t="s">
        <v>67</v>
      </c>
      <c r="C3498" s="25" t="s">
        <v>233</v>
      </c>
      <c r="D3498" s="25">
        <v>1</v>
      </c>
      <c r="E3498" s="25" t="s">
        <v>4</v>
      </c>
      <c r="F3498" s="38">
        <v>317000</v>
      </c>
      <c r="G3498" s="38" t="s">
        <v>667</v>
      </c>
      <c r="H3498" s="25" t="str">
        <f t="shared" si="112"/>
        <v>平成6年9月14日</v>
      </c>
      <c r="I3498" s="22">
        <f t="shared" si="113"/>
        <v>34591</v>
      </c>
      <c r="J3498" s="1" t="str">
        <f>"00744105"</f>
        <v>00744105</v>
      </c>
      <c r="K3498" s="1" t="str">
        <f>"３６３　　　　　　　　　　　　　　　　　"</f>
        <v>３６３　　　　　　　　　　　　　　　　　</v>
      </c>
      <c r="L3498" s="1"/>
    </row>
    <row r="3499" spans="1:12" ht="18" customHeight="1" x14ac:dyDescent="0.15">
      <c r="A3499" s="25">
        <v>3830</v>
      </c>
      <c r="B3499" s="25" t="s">
        <v>67</v>
      </c>
      <c r="C3499" s="25" t="s">
        <v>233</v>
      </c>
      <c r="D3499" s="25">
        <v>1</v>
      </c>
      <c r="E3499" s="25" t="s">
        <v>4</v>
      </c>
      <c r="F3499" s="38">
        <v>317000</v>
      </c>
      <c r="G3499" s="38" t="s">
        <v>667</v>
      </c>
      <c r="H3499" s="25" t="str">
        <f t="shared" si="112"/>
        <v>平成6年9月14日</v>
      </c>
      <c r="I3499" s="22">
        <f t="shared" si="113"/>
        <v>34591</v>
      </c>
      <c r="J3499" s="1" t="str">
        <f>"00744107"</f>
        <v>00744107</v>
      </c>
      <c r="K3499" s="1" t="str">
        <f>"３６４　　　　　　　　　　　　　　　　　"</f>
        <v>３６４　　　　　　　　　　　　　　　　　</v>
      </c>
      <c r="L3499" s="1"/>
    </row>
    <row r="3500" spans="1:12" ht="18" customHeight="1" x14ac:dyDescent="0.15">
      <c r="A3500" s="25">
        <v>3831</v>
      </c>
      <c r="B3500" s="25" t="s">
        <v>67</v>
      </c>
      <c r="C3500" s="25" t="s">
        <v>233</v>
      </c>
      <c r="D3500" s="25">
        <v>1</v>
      </c>
      <c r="E3500" s="25" t="s">
        <v>4</v>
      </c>
      <c r="F3500" s="38">
        <v>317000</v>
      </c>
      <c r="G3500" s="38" t="s">
        <v>667</v>
      </c>
      <c r="H3500" s="25" t="str">
        <f t="shared" si="112"/>
        <v>平成6年9月14日</v>
      </c>
      <c r="I3500" s="22">
        <f t="shared" si="113"/>
        <v>34591</v>
      </c>
      <c r="J3500" s="1" t="str">
        <f>"00744109"</f>
        <v>00744109</v>
      </c>
      <c r="K3500" s="1" t="str">
        <f>"３６５　　　　　　　　　　　　　　　　　"</f>
        <v>３６５　　　　　　　　　　　　　　　　　</v>
      </c>
      <c r="L3500" s="1"/>
    </row>
    <row r="3501" spans="1:12" ht="18" customHeight="1" x14ac:dyDescent="0.15">
      <c r="A3501" s="25">
        <v>3832</v>
      </c>
      <c r="B3501" s="25" t="s">
        <v>67</v>
      </c>
      <c r="C3501" s="25" t="s">
        <v>233</v>
      </c>
      <c r="D3501" s="25">
        <v>1</v>
      </c>
      <c r="E3501" s="25" t="s">
        <v>4</v>
      </c>
      <c r="F3501" s="38">
        <v>317000</v>
      </c>
      <c r="G3501" s="38" t="s">
        <v>667</v>
      </c>
      <c r="H3501" s="25" t="str">
        <f t="shared" si="112"/>
        <v>平成6年9月14日</v>
      </c>
      <c r="I3501" s="22">
        <f t="shared" si="113"/>
        <v>34591</v>
      </c>
      <c r="J3501" s="1" t="str">
        <f>"00744111"</f>
        <v>00744111</v>
      </c>
      <c r="K3501" s="1" t="str">
        <f>"３６６　　　　　　　　　　　　　　　　　"</f>
        <v>３６６　　　　　　　　　　　　　　　　　</v>
      </c>
      <c r="L3501" s="1"/>
    </row>
    <row r="3502" spans="1:12" ht="18" customHeight="1" x14ac:dyDescent="0.15">
      <c r="A3502" s="25">
        <v>3833</v>
      </c>
      <c r="B3502" s="25" t="s">
        <v>67</v>
      </c>
      <c r="C3502" s="25" t="s">
        <v>233</v>
      </c>
      <c r="D3502" s="25">
        <v>1</v>
      </c>
      <c r="E3502" s="25" t="s">
        <v>4</v>
      </c>
      <c r="F3502" s="38">
        <v>317000</v>
      </c>
      <c r="G3502" s="38" t="s">
        <v>667</v>
      </c>
      <c r="H3502" s="25" t="str">
        <f t="shared" si="112"/>
        <v>平成6年9月14日</v>
      </c>
      <c r="I3502" s="22">
        <f t="shared" si="113"/>
        <v>34591</v>
      </c>
      <c r="J3502" s="1" t="str">
        <f>"00744113"</f>
        <v>00744113</v>
      </c>
      <c r="K3502" s="1" t="str">
        <f>"３６７　　　　　　　　　　　　　　　　　"</f>
        <v>３６７　　　　　　　　　　　　　　　　　</v>
      </c>
      <c r="L3502" s="1"/>
    </row>
    <row r="3503" spans="1:12" ht="18" customHeight="1" x14ac:dyDescent="0.15">
      <c r="A3503" s="25">
        <v>3834</v>
      </c>
      <c r="B3503" s="25" t="s">
        <v>67</v>
      </c>
      <c r="C3503" s="25" t="s">
        <v>233</v>
      </c>
      <c r="D3503" s="25">
        <v>1</v>
      </c>
      <c r="E3503" s="25" t="s">
        <v>4</v>
      </c>
      <c r="F3503" s="38">
        <v>317000</v>
      </c>
      <c r="G3503" s="38" t="s">
        <v>667</v>
      </c>
      <c r="H3503" s="25" t="str">
        <f t="shared" si="112"/>
        <v>平成6年9月14日</v>
      </c>
      <c r="I3503" s="22">
        <f t="shared" si="113"/>
        <v>34591</v>
      </c>
      <c r="J3503" s="1" t="str">
        <f>"00744115"</f>
        <v>00744115</v>
      </c>
      <c r="K3503" s="1" t="str">
        <f>"３６８　　　　　　　　　　　　　　　　　"</f>
        <v>３６８　　　　　　　　　　　　　　　　　</v>
      </c>
      <c r="L3503" s="1"/>
    </row>
    <row r="3504" spans="1:12" ht="18" customHeight="1" x14ac:dyDescent="0.15">
      <c r="A3504" s="25">
        <v>3835</v>
      </c>
      <c r="B3504" s="25" t="s">
        <v>67</v>
      </c>
      <c r="C3504" s="25" t="s">
        <v>233</v>
      </c>
      <c r="D3504" s="25">
        <v>1</v>
      </c>
      <c r="E3504" s="25" t="s">
        <v>4</v>
      </c>
      <c r="F3504" s="38">
        <v>395000</v>
      </c>
      <c r="G3504" s="38" t="s">
        <v>667</v>
      </c>
      <c r="H3504" s="25" t="str">
        <f t="shared" si="112"/>
        <v>平成6年9月14日</v>
      </c>
      <c r="I3504" s="22">
        <f t="shared" si="113"/>
        <v>34591</v>
      </c>
      <c r="J3504" s="1" t="str">
        <f>"00744117"</f>
        <v>00744117</v>
      </c>
      <c r="K3504" s="1" t="str">
        <f>"３６９　　　　　　　　　　　　　　　　　"</f>
        <v>３６９　　　　　　　　　　　　　　　　　</v>
      </c>
      <c r="L3504" s="1"/>
    </row>
    <row r="3505" spans="1:12" ht="18" customHeight="1" x14ac:dyDescent="0.15">
      <c r="A3505" s="25">
        <v>3836</v>
      </c>
      <c r="B3505" s="25" t="s">
        <v>67</v>
      </c>
      <c r="C3505" s="25" t="s">
        <v>233</v>
      </c>
      <c r="D3505" s="25">
        <v>1</v>
      </c>
      <c r="E3505" s="25" t="s">
        <v>4</v>
      </c>
      <c r="F3505" s="38">
        <v>395000</v>
      </c>
      <c r="G3505" s="38" t="s">
        <v>667</v>
      </c>
      <c r="H3505" s="25" t="str">
        <f t="shared" si="112"/>
        <v>平成6年9月14日</v>
      </c>
      <c r="I3505" s="22">
        <f t="shared" si="113"/>
        <v>34591</v>
      </c>
      <c r="J3505" s="1" t="str">
        <f>"00744119"</f>
        <v>00744119</v>
      </c>
      <c r="K3505" s="1" t="str">
        <f>"３７０　　　　　　　　　　　　　　　　　"</f>
        <v>３７０　　　　　　　　　　　　　　　　　</v>
      </c>
      <c r="L3505" s="1"/>
    </row>
    <row r="3506" spans="1:12" ht="18" customHeight="1" x14ac:dyDescent="0.15">
      <c r="A3506" s="25">
        <v>3837</v>
      </c>
      <c r="B3506" s="25" t="s">
        <v>67</v>
      </c>
      <c r="C3506" s="25" t="s">
        <v>233</v>
      </c>
      <c r="D3506" s="25">
        <v>1</v>
      </c>
      <c r="E3506" s="25" t="s">
        <v>4</v>
      </c>
      <c r="F3506" s="38">
        <v>94000</v>
      </c>
      <c r="G3506" s="38" t="s">
        <v>667</v>
      </c>
      <c r="H3506" s="25" t="str">
        <f t="shared" si="112"/>
        <v>平成6年9月14日</v>
      </c>
      <c r="I3506" s="22">
        <f t="shared" si="113"/>
        <v>34591</v>
      </c>
      <c r="J3506" s="1" t="str">
        <f>"00744123"</f>
        <v>00744123</v>
      </c>
      <c r="K3506" s="1" t="str">
        <f>"３７１　　　　　　　　　　　　　　　　　"</f>
        <v>３７１　　　　　　　　　　　　　　　　　</v>
      </c>
      <c r="L3506" s="1"/>
    </row>
    <row r="3507" spans="1:12" ht="18" customHeight="1" x14ac:dyDescent="0.15">
      <c r="A3507" s="25">
        <v>3838</v>
      </c>
      <c r="B3507" s="25" t="s">
        <v>67</v>
      </c>
      <c r="C3507" s="25" t="s">
        <v>234</v>
      </c>
      <c r="D3507" s="25">
        <v>1</v>
      </c>
      <c r="E3507" s="25" t="s">
        <v>4</v>
      </c>
      <c r="F3507" s="38">
        <v>22110</v>
      </c>
      <c r="G3507" s="38" t="s">
        <v>667</v>
      </c>
      <c r="H3507" s="25" t="str">
        <f t="shared" si="112"/>
        <v>平成6年9月14日</v>
      </c>
      <c r="I3507" s="22">
        <f t="shared" si="113"/>
        <v>34591</v>
      </c>
      <c r="J3507" s="1" t="str">
        <f>"00744125"</f>
        <v>00744125</v>
      </c>
      <c r="K3507" s="1" t="str">
        <f>"３７２　　　　　　　　　　　　　　　　　"</f>
        <v>３７２　　　　　　　　　　　　　　　　　</v>
      </c>
      <c r="L3507" s="1"/>
    </row>
    <row r="3508" spans="1:12" ht="18" customHeight="1" x14ac:dyDescent="0.15">
      <c r="A3508" s="25">
        <v>3839</v>
      </c>
      <c r="B3508" s="25" t="s">
        <v>67</v>
      </c>
      <c r="C3508" s="25" t="s">
        <v>234</v>
      </c>
      <c r="D3508" s="25">
        <v>1</v>
      </c>
      <c r="E3508" s="25" t="s">
        <v>4</v>
      </c>
      <c r="F3508" s="38">
        <v>22110</v>
      </c>
      <c r="G3508" s="38" t="s">
        <v>667</v>
      </c>
      <c r="H3508" s="25" t="str">
        <f t="shared" si="112"/>
        <v>平成6年9月14日</v>
      </c>
      <c r="I3508" s="22">
        <f t="shared" si="113"/>
        <v>34591</v>
      </c>
      <c r="J3508" s="1" t="str">
        <f>"00744127"</f>
        <v>00744127</v>
      </c>
      <c r="K3508" s="1" t="str">
        <f>"３７３　　　　　　　　　　　　　　　　　"</f>
        <v>３７３　　　　　　　　　　　　　　　　　</v>
      </c>
      <c r="L3508" s="1"/>
    </row>
    <row r="3509" spans="1:12" ht="18" customHeight="1" x14ac:dyDescent="0.15">
      <c r="A3509" s="25">
        <v>3840</v>
      </c>
      <c r="B3509" s="25" t="s">
        <v>67</v>
      </c>
      <c r="C3509" s="25" t="s">
        <v>234</v>
      </c>
      <c r="D3509" s="25">
        <v>1</v>
      </c>
      <c r="E3509" s="25" t="s">
        <v>4</v>
      </c>
      <c r="F3509" s="38">
        <v>22110</v>
      </c>
      <c r="G3509" s="38" t="s">
        <v>667</v>
      </c>
      <c r="H3509" s="25" t="str">
        <f t="shared" si="112"/>
        <v>平成6年9月14日</v>
      </c>
      <c r="I3509" s="22">
        <f t="shared" si="113"/>
        <v>34591</v>
      </c>
      <c r="J3509" s="1" t="str">
        <f>"00744129"</f>
        <v>00744129</v>
      </c>
      <c r="K3509" s="1" t="str">
        <f>"３７４　　　　　　　　　　　　　　　　　"</f>
        <v>３７４　　　　　　　　　　　　　　　　　</v>
      </c>
      <c r="L3509" s="1"/>
    </row>
    <row r="3510" spans="1:12" ht="18" customHeight="1" x14ac:dyDescent="0.15">
      <c r="A3510" s="25">
        <v>3841</v>
      </c>
      <c r="B3510" s="25" t="s">
        <v>67</v>
      </c>
      <c r="C3510" s="25" t="s">
        <v>234</v>
      </c>
      <c r="D3510" s="25">
        <v>1</v>
      </c>
      <c r="E3510" s="25" t="s">
        <v>4</v>
      </c>
      <c r="F3510" s="38">
        <v>22110</v>
      </c>
      <c r="G3510" s="38" t="s">
        <v>667</v>
      </c>
      <c r="H3510" s="25" t="str">
        <f t="shared" si="112"/>
        <v>平成6年9月14日</v>
      </c>
      <c r="I3510" s="22">
        <f t="shared" si="113"/>
        <v>34591</v>
      </c>
      <c r="J3510" s="1" t="str">
        <f>"00744131"</f>
        <v>00744131</v>
      </c>
      <c r="K3510" s="1" t="str">
        <f>"３７５　　　　　　　　　　　　　　　　　"</f>
        <v>３７５　　　　　　　　　　　　　　　　　</v>
      </c>
      <c r="L3510" s="1"/>
    </row>
    <row r="3511" spans="1:12" ht="18" customHeight="1" x14ac:dyDescent="0.15">
      <c r="A3511" s="25">
        <v>3842</v>
      </c>
      <c r="B3511" s="25" t="s">
        <v>67</v>
      </c>
      <c r="C3511" s="25" t="s">
        <v>234</v>
      </c>
      <c r="D3511" s="25">
        <v>1</v>
      </c>
      <c r="E3511" s="25" t="s">
        <v>4</v>
      </c>
      <c r="F3511" s="38">
        <v>22110</v>
      </c>
      <c r="G3511" s="38" t="s">
        <v>667</v>
      </c>
      <c r="H3511" s="25" t="str">
        <f t="shared" si="112"/>
        <v>平成6年9月14日</v>
      </c>
      <c r="I3511" s="22">
        <f t="shared" si="113"/>
        <v>34591</v>
      </c>
      <c r="J3511" s="1" t="str">
        <f>"00744133"</f>
        <v>00744133</v>
      </c>
      <c r="K3511" s="1" t="str">
        <f>"３７６　　　　　　　　　　　　　　　　　"</f>
        <v>３７６　　　　　　　　　　　　　　　　　</v>
      </c>
      <c r="L3511" s="1"/>
    </row>
    <row r="3512" spans="1:12" ht="18" customHeight="1" x14ac:dyDescent="0.15">
      <c r="A3512" s="25">
        <v>3843</v>
      </c>
      <c r="B3512" s="25" t="s">
        <v>67</v>
      </c>
      <c r="C3512" s="25" t="s">
        <v>234</v>
      </c>
      <c r="D3512" s="25">
        <v>1</v>
      </c>
      <c r="E3512" s="25" t="s">
        <v>4</v>
      </c>
      <c r="F3512" s="38">
        <v>22110</v>
      </c>
      <c r="G3512" s="38" t="s">
        <v>667</v>
      </c>
      <c r="H3512" s="25" t="str">
        <f t="shared" si="112"/>
        <v>平成6年9月14日</v>
      </c>
      <c r="I3512" s="22">
        <f t="shared" si="113"/>
        <v>34591</v>
      </c>
      <c r="J3512" s="1" t="str">
        <f>"00744134"</f>
        <v>00744134</v>
      </c>
      <c r="K3512" s="1" t="str">
        <f>"３７７　　　　　　　　　　　　　　　　　"</f>
        <v>３７７　　　　　　　　　　　　　　　　　</v>
      </c>
      <c r="L3512" s="1"/>
    </row>
    <row r="3513" spans="1:12" ht="18" customHeight="1" x14ac:dyDescent="0.15">
      <c r="A3513" s="25">
        <v>3844</v>
      </c>
      <c r="B3513" s="25" t="s">
        <v>67</v>
      </c>
      <c r="C3513" s="25" t="s">
        <v>234</v>
      </c>
      <c r="D3513" s="25">
        <v>1</v>
      </c>
      <c r="E3513" s="25" t="s">
        <v>4</v>
      </c>
      <c r="F3513" s="38">
        <v>22110</v>
      </c>
      <c r="G3513" s="38" t="s">
        <v>667</v>
      </c>
      <c r="H3513" s="25" t="str">
        <f t="shared" si="112"/>
        <v>平成6年9月14日</v>
      </c>
      <c r="I3513" s="22">
        <f t="shared" si="113"/>
        <v>34591</v>
      </c>
      <c r="J3513" s="1" t="str">
        <f>"00744136"</f>
        <v>00744136</v>
      </c>
      <c r="K3513" s="1" t="str">
        <f>"３７８　　　　　　　　　　　　　　　　　"</f>
        <v>３７８　　　　　　　　　　　　　　　　　</v>
      </c>
      <c r="L3513" s="1"/>
    </row>
    <row r="3514" spans="1:12" ht="18" customHeight="1" x14ac:dyDescent="0.15">
      <c r="A3514" s="25">
        <v>3845</v>
      </c>
      <c r="B3514" s="25" t="s">
        <v>67</v>
      </c>
      <c r="C3514" s="25" t="s">
        <v>235</v>
      </c>
      <c r="D3514" s="25">
        <v>1</v>
      </c>
      <c r="E3514" s="25" t="s">
        <v>4</v>
      </c>
      <c r="F3514" s="38">
        <v>82000</v>
      </c>
      <c r="G3514" s="38" t="s">
        <v>667</v>
      </c>
      <c r="H3514" s="25" t="str">
        <f t="shared" si="112"/>
        <v>平成6年9月14日</v>
      </c>
      <c r="I3514" s="22">
        <f t="shared" si="113"/>
        <v>34591</v>
      </c>
      <c r="J3514" s="1" t="str">
        <f>"00744143"</f>
        <v>00744143</v>
      </c>
      <c r="K3514" s="1" t="str">
        <f>"３８１　　　　　　　　　　　　　　　　　"</f>
        <v>３８１　　　　　　　　　　　　　　　　　</v>
      </c>
      <c r="L3514" s="1"/>
    </row>
    <row r="3515" spans="1:12" ht="18" customHeight="1" x14ac:dyDescent="0.15">
      <c r="A3515" s="25">
        <v>3846</v>
      </c>
      <c r="B3515" s="25" t="s">
        <v>67</v>
      </c>
      <c r="C3515" s="25" t="s">
        <v>235</v>
      </c>
      <c r="D3515" s="25">
        <v>1</v>
      </c>
      <c r="E3515" s="25" t="s">
        <v>4</v>
      </c>
      <c r="F3515" s="38">
        <v>82000</v>
      </c>
      <c r="G3515" s="38" t="s">
        <v>667</v>
      </c>
      <c r="H3515" s="25" t="str">
        <f t="shared" si="112"/>
        <v>平成6年9月14日</v>
      </c>
      <c r="I3515" s="22">
        <f t="shared" si="113"/>
        <v>34591</v>
      </c>
      <c r="J3515" s="1" t="str">
        <f>"00744145"</f>
        <v>00744145</v>
      </c>
      <c r="K3515" s="1" t="str">
        <f>"３８２　　　　　　　　　　　　　　　　　"</f>
        <v>３８２　　　　　　　　　　　　　　　　　</v>
      </c>
      <c r="L3515" s="1"/>
    </row>
    <row r="3516" spans="1:12" ht="18" customHeight="1" x14ac:dyDescent="0.15">
      <c r="A3516" s="25">
        <v>3847</v>
      </c>
      <c r="B3516" s="25" t="s">
        <v>67</v>
      </c>
      <c r="C3516" s="25" t="s">
        <v>235</v>
      </c>
      <c r="D3516" s="25">
        <v>1</v>
      </c>
      <c r="E3516" s="25" t="s">
        <v>4</v>
      </c>
      <c r="F3516" s="38">
        <v>82000</v>
      </c>
      <c r="G3516" s="38" t="s">
        <v>667</v>
      </c>
      <c r="H3516" s="25" t="str">
        <f t="shared" si="112"/>
        <v>平成6年9月14日</v>
      </c>
      <c r="I3516" s="22">
        <f t="shared" si="113"/>
        <v>34591</v>
      </c>
      <c r="J3516" s="1" t="str">
        <f>"00744147"</f>
        <v>00744147</v>
      </c>
      <c r="K3516" s="1" t="str">
        <f>"３８３　　　　　　　　　　　　　　　　　"</f>
        <v>３８３　　　　　　　　　　　　　　　　　</v>
      </c>
      <c r="L3516" s="1"/>
    </row>
    <row r="3517" spans="1:12" ht="18" customHeight="1" x14ac:dyDescent="0.15">
      <c r="A3517" s="25">
        <v>3848</v>
      </c>
      <c r="B3517" s="25" t="s">
        <v>67</v>
      </c>
      <c r="C3517" s="25" t="s">
        <v>235</v>
      </c>
      <c r="D3517" s="25">
        <v>1</v>
      </c>
      <c r="E3517" s="25" t="s">
        <v>4</v>
      </c>
      <c r="F3517" s="38">
        <v>82000</v>
      </c>
      <c r="G3517" s="38" t="s">
        <v>667</v>
      </c>
      <c r="H3517" s="25" t="str">
        <f t="shared" si="112"/>
        <v>平成6年9月14日</v>
      </c>
      <c r="I3517" s="22">
        <f t="shared" si="113"/>
        <v>34591</v>
      </c>
      <c r="J3517" s="1" t="str">
        <f>"00744149"</f>
        <v>00744149</v>
      </c>
      <c r="K3517" s="1" t="str">
        <f>"３８４　　　　　　　　　　　　　　　　　"</f>
        <v>３８４　　　　　　　　　　　　　　　　　</v>
      </c>
      <c r="L3517" s="1"/>
    </row>
    <row r="3518" spans="1:12" ht="18" customHeight="1" x14ac:dyDescent="0.15">
      <c r="A3518" s="25">
        <v>3849</v>
      </c>
      <c r="B3518" s="25" t="s">
        <v>67</v>
      </c>
      <c r="C3518" s="25" t="s">
        <v>235</v>
      </c>
      <c r="D3518" s="25">
        <v>1</v>
      </c>
      <c r="E3518" s="25" t="s">
        <v>4</v>
      </c>
      <c r="F3518" s="38">
        <v>82000</v>
      </c>
      <c r="G3518" s="38" t="s">
        <v>667</v>
      </c>
      <c r="H3518" s="25" t="str">
        <f t="shared" si="112"/>
        <v>平成6年9月14日</v>
      </c>
      <c r="I3518" s="22">
        <f t="shared" si="113"/>
        <v>34591</v>
      </c>
      <c r="J3518" s="1" t="str">
        <f>"00744151"</f>
        <v>00744151</v>
      </c>
      <c r="K3518" s="1" t="str">
        <f>"３８５　　　　　　　　　　　　　　　　　"</f>
        <v>３８５　　　　　　　　　　　　　　　　　</v>
      </c>
      <c r="L3518" s="1"/>
    </row>
    <row r="3519" spans="1:12" ht="18" customHeight="1" x14ac:dyDescent="0.15">
      <c r="A3519" s="25">
        <v>3850</v>
      </c>
      <c r="B3519" s="25" t="s">
        <v>67</v>
      </c>
      <c r="C3519" s="25" t="s">
        <v>235</v>
      </c>
      <c r="D3519" s="25">
        <v>1</v>
      </c>
      <c r="E3519" s="25" t="s">
        <v>4</v>
      </c>
      <c r="F3519" s="38">
        <v>82000</v>
      </c>
      <c r="G3519" s="38" t="s">
        <v>667</v>
      </c>
      <c r="H3519" s="25" t="str">
        <f t="shared" si="112"/>
        <v>平成6年9月14日</v>
      </c>
      <c r="I3519" s="22">
        <f t="shared" si="113"/>
        <v>34591</v>
      </c>
      <c r="J3519" s="1" t="str">
        <f>"00744153"</f>
        <v>00744153</v>
      </c>
      <c r="K3519" s="1" t="str">
        <f>"３８６　　　　　　　　　　　　　　　　　"</f>
        <v>３８６　　　　　　　　　　　　　　　　　</v>
      </c>
      <c r="L3519" s="1"/>
    </row>
    <row r="3520" spans="1:12" ht="18" customHeight="1" x14ac:dyDescent="0.15">
      <c r="A3520" s="25">
        <v>3851</v>
      </c>
      <c r="B3520" s="25" t="s">
        <v>67</v>
      </c>
      <c r="C3520" s="25" t="s">
        <v>235</v>
      </c>
      <c r="D3520" s="25">
        <v>1</v>
      </c>
      <c r="E3520" s="25" t="s">
        <v>4</v>
      </c>
      <c r="F3520" s="38">
        <v>82000</v>
      </c>
      <c r="G3520" s="38" t="s">
        <v>667</v>
      </c>
      <c r="H3520" s="25" t="str">
        <f t="shared" si="112"/>
        <v>平成6年9月14日</v>
      </c>
      <c r="I3520" s="22">
        <f t="shared" si="113"/>
        <v>34591</v>
      </c>
      <c r="J3520" s="1" t="str">
        <f>"00744155"</f>
        <v>00744155</v>
      </c>
      <c r="K3520" s="1" t="str">
        <f>"３８７　　　　　　　　　　　　　　　　　"</f>
        <v>３８７　　　　　　　　　　　　　　　　　</v>
      </c>
      <c r="L3520" s="1"/>
    </row>
    <row r="3521" spans="1:12" ht="18" customHeight="1" x14ac:dyDescent="0.15">
      <c r="A3521" s="25">
        <v>3852</v>
      </c>
      <c r="B3521" s="25" t="s">
        <v>67</v>
      </c>
      <c r="C3521" s="25" t="s">
        <v>235</v>
      </c>
      <c r="D3521" s="25">
        <v>1</v>
      </c>
      <c r="E3521" s="25" t="s">
        <v>4</v>
      </c>
      <c r="F3521" s="38">
        <v>82000</v>
      </c>
      <c r="G3521" s="38" t="s">
        <v>667</v>
      </c>
      <c r="H3521" s="25" t="str">
        <f t="shared" si="112"/>
        <v>平成6年9月14日</v>
      </c>
      <c r="I3521" s="22">
        <f t="shared" si="113"/>
        <v>34591</v>
      </c>
      <c r="J3521" s="1" t="str">
        <f>"00744157"</f>
        <v>00744157</v>
      </c>
      <c r="K3521" s="1" t="str">
        <f>"３８８　　　　　　　　　　　　　　　　　"</f>
        <v>３８８　　　　　　　　　　　　　　　　　</v>
      </c>
      <c r="L3521" s="1"/>
    </row>
    <row r="3522" spans="1:12" ht="18" customHeight="1" x14ac:dyDescent="0.15">
      <c r="A3522" s="25">
        <v>3853</v>
      </c>
      <c r="B3522" s="25" t="s">
        <v>67</v>
      </c>
      <c r="C3522" s="25" t="s">
        <v>235</v>
      </c>
      <c r="D3522" s="25">
        <v>1</v>
      </c>
      <c r="E3522" s="25" t="s">
        <v>4</v>
      </c>
      <c r="F3522" s="38">
        <v>82000</v>
      </c>
      <c r="G3522" s="38" t="s">
        <v>667</v>
      </c>
      <c r="H3522" s="25" t="str">
        <f t="shared" si="112"/>
        <v>平成6年9月14日</v>
      </c>
      <c r="I3522" s="22">
        <f t="shared" si="113"/>
        <v>34591</v>
      </c>
      <c r="J3522" s="1" t="str">
        <f>"00744159"</f>
        <v>00744159</v>
      </c>
      <c r="K3522" s="1" t="str">
        <f>"３８９　　　　　　　　　　　　　　　　　"</f>
        <v>３８９　　　　　　　　　　　　　　　　　</v>
      </c>
      <c r="L3522" s="1"/>
    </row>
    <row r="3523" spans="1:12" ht="18" customHeight="1" x14ac:dyDescent="0.15">
      <c r="A3523" s="25">
        <v>3854</v>
      </c>
      <c r="B3523" s="25" t="s">
        <v>67</v>
      </c>
      <c r="C3523" s="25" t="s">
        <v>235</v>
      </c>
      <c r="D3523" s="25">
        <v>1</v>
      </c>
      <c r="E3523" s="25" t="s">
        <v>4</v>
      </c>
      <c r="F3523" s="38">
        <v>82000</v>
      </c>
      <c r="G3523" s="38" t="s">
        <v>667</v>
      </c>
      <c r="H3523" s="25" t="str">
        <f t="shared" si="112"/>
        <v>平成6年9月14日</v>
      </c>
      <c r="I3523" s="22">
        <f t="shared" si="113"/>
        <v>34591</v>
      </c>
      <c r="J3523" s="1" t="str">
        <f>"00744161"</f>
        <v>00744161</v>
      </c>
      <c r="K3523" s="1" t="str">
        <f>"３９０　　　　　　　　　　　　　　　　　"</f>
        <v>３９０　　　　　　　　　　　　　　　　　</v>
      </c>
      <c r="L3523" s="1"/>
    </row>
    <row r="3524" spans="1:12" ht="18" customHeight="1" x14ac:dyDescent="0.15">
      <c r="A3524" s="25">
        <v>3855</v>
      </c>
      <c r="B3524" s="25" t="s">
        <v>67</v>
      </c>
      <c r="C3524" s="25" t="s">
        <v>235</v>
      </c>
      <c r="D3524" s="25">
        <v>1</v>
      </c>
      <c r="E3524" s="25" t="s">
        <v>4</v>
      </c>
      <c r="F3524" s="38">
        <v>82000</v>
      </c>
      <c r="G3524" s="38" t="s">
        <v>667</v>
      </c>
      <c r="H3524" s="25" t="str">
        <f t="shared" si="112"/>
        <v>平成6年9月14日</v>
      </c>
      <c r="I3524" s="22">
        <f t="shared" si="113"/>
        <v>34591</v>
      </c>
      <c r="J3524" s="1" t="str">
        <f>"00744163"</f>
        <v>00744163</v>
      </c>
      <c r="K3524" s="1" t="str">
        <f>"３９１　　　　　　　　　　　　　　　　　"</f>
        <v>３９１　　　　　　　　　　　　　　　　　</v>
      </c>
      <c r="L3524" s="1"/>
    </row>
    <row r="3525" spans="1:12" ht="18" customHeight="1" x14ac:dyDescent="0.15">
      <c r="A3525" s="25">
        <v>3856</v>
      </c>
      <c r="B3525" s="25" t="s">
        <v>67</v>
      </c>
      <c r="C3525" s="25" t="s">
        <v>235</v>
      </c>
      <c r="D3525" s="25">
        <v>1</v>
      </c>
      <c r="E3525" s="25" t="s">
        <v>4</v>
      </c>
      <c r="F3525" s="38">
        <v>82000</v>
      </c>
      <c r="G3525" s="38" t="s">
        <v>667</v>
      </c>
      <c r="H3525" s="25" t="str">
        <f t="shared" si="112"/>
        <v>平成6年9月14日</v>
      </c>
      <c r="I3525" s="22">
        <f t="shared" si="113"/>
        <v>34591</v>
      </c>
      <c r="J3525" s="1" t="str">
        <f>"00744165"</f>
        <v>00744165</v>
      </c>
      <c r="K3525" s="1" t="str">
        <f>"３９２　　　　　　　　　　　　　　　　　"</f>
        <v>３９２　　　　　　　　　　　　　　　　　</v>
      </c>
      <c r="L3525" s="1"/>
    </row>
    <row r="3526" spans="1:12" ht="18" customHeight="1" x14ac:dyDescent="0.15">
      <c r="A3526" s="25">
        <v>3857</v>
      </c>
      <c r="B3526" s="25" t="s">
        <v>67</v>
      </c>
      <c r="C3526" s="25" t="s">
        <v>235</v>
      </c>
      <c r="D3526" s="25">
        <v>1</v>
      </c>
      <c r="E3526" s="25" t="s">
        <v>4</v>
      </c>
      <c r="F3526" s="38">
        <v>82000</v>
      </c>
      <c r="G3526" s="38" t="s">
        <v>667</v>
      </c>
      <c r="H3526" s="25" t="str">
        <f t="shared" si="112"/>
        <v>平成6年9月14日</v>
      </c>
      <c r="I3526" s="22">
        <f t="shared" si="113"/>
        <v>34591</v>
      </c>
      <c r="J3526" s="1" t="str">
        <f>"00744167"</f>
        <v>00744167</v>
      </c>
      <c r="K3526" s="1" t="str">
        <f>"３９３　　　　　　　　　　　　　　　　　"</f>
        <v>３９３　　　　　　　　　　　　　　　　　</v>
      </c>
      <c r="L3526" s="1"/>
    </row>
    <row r="3527" spans="1:12" ht="18" customHeight="1" x14ac:dyDescent="0.15">
      <c r="A3527" s="25">
        <v>3858</v>
      </c>
      <c r="B3527" s="25" t="s">
        <v>67</v>
      </c>
      <c r="C3527" s="25" t="s">
        <v>235</v>
      </c>
      <c r="D3527" s="25">
        <v>1</v>
      </c>
      <c r="E3527" s="25" t="s">
        <v>4</v>
      </c>
      <c r="F3527" s="38">
        <v>82000</v>
      </c>
      <c r="G3527" s="38" t="s">
        <v>667</v>
      </c>
      <c r="H3527" s="25" t="str">
        <f t="shared" si="112"/>
        <v>平成6年9月14日</v>
      </c>
      <c r="I3527" s="22">
        <f t="shared" si="113"/>
        <v>34591</v>
      </c>
      <c r="J3527" s="1" t="str">
        <f>"00744169"</f>
        <v>00744169</v>
      </c>
      <c r="K3527" s="1" t="str">
        <f>"３９４　　　　　　　　　　　　　　　　　"</f>
        <v>３９４　　　　　　　　　　　　　　　　　</v>
      </c>
      <c r="L3527" s="1"/>
    </row>
    <row r="3528" spans="1:12" ht="18" customHeight="1" x14ac:dyDescent="0.15">
      <c r="A3528" s="25">
        <v>3859</v>
      </c>
      <c r="B3528" s="25" t="s">
        <v>67</v>
      </c>
      <c r="C3528" s="25" t="s">
        <v>235</v>
      </c>
      <c r="D3528" s="25">
        <v>1</v>
      </c>
      <c r="E3528" s="25" t="s">
        <v>4</v>
      </c>
      <c r="F3528" s="38">
        <v>82000</v>
      </c>
      <c r="G3528" s="38" t="s">
        <v>667</v>
      </c>
      <c r="H3528" s="25" t="str">
        <f t="shared" si="112"/>
        <v>平成6年9月14日</v>
      </c>
      <c r="I3528" s="22">
        <f t="shared" si="113"/>
        <v>34591</v>
      </c>
      <c r="J3528" s="1" t="str">
        <f>"00744171"</f>
        <v>00744171</v>
      </c>
      <c r="K3528" s="1" t="str">
        <f>"３９５　　　　　　　　　　　　　　　　　"</f>
        <v>３９５　　　　　　　　　　　　　　　　　</v>
      </c>
      <c r="L3528" s="1"/>
    </row>
    <row r="3529" spans="1:12" ht="18" customHeight="1" x14ac:dyDescent="0.15">
      <c r="A3529" s="25">
        <v>3860</v>
      </c>
      <c r="B3529" s="25" t="s">
        <v>67</v>
      </c>
      <c r="C3529" s="25" t="s">
        <v>235</v>
      </c>
      <c r="D3529" s="25">
        <v>1</v>
      </c>
      <c r="E3529" s="25" t="s">
        <v>4</v>
      </c>
      <c r="F3529" s="38">
        <v>82000</v>
      </c>
      <c r="G3529" s="38" t="s">
        <v>667</v>
      </c>
      <c r="H3529" s="25" t="str">
        <f t="shared" si="112"/>
        <v>平成6年9月14日</v>
      </c>
      <c r="I3529" s="22">
        <f t="shared" si="113"/>
        <v>34591</v>
      </c>
      <c r="J3529" s="1" t="str">
        <f>"00744173"</f>
        <v>00744173</v>
      </c>
      <c r="K3529" s="1" t="str">
        <f>"３９６　　　　　　　　　　　　　　　　　"</f>
        <v>３９６　　　　　　　　　　　　　　　　　</v>
      </c>
      <c r="L3529" s="1"/>
    </row>
    <row r="3530" spans="1:12" ht="18" customHeight="1" x14ac:dyDescent="0.15">
      <c r="A3530" s="25">
        <v>3861</v>
      </c>
      <c r="B3530" s="25" t="s">
        <v>67</v>
      </c>
      <c r="C3530" s="25" t="s">
        <v>235</v>
      </c>
      <c r="D3530" s="25">
        <v>1</v>
      </c>
      <c r="E3530" s="25" t="s">
        <v>4</v>
      </c>
      <c r="F3530" s="38">
        <v>82000</v>
      </c>
      <c r="G3530" s="38" t="s">
        <v>667</v>
      </c>
      <c r="H3530" s="25" t="str">
        <f t="shared" si="112"/>
        <v>平成6年9月14日</v>
      </c>
      <c r="I3530" s="22">
        <f t="shared" si="113"/>
        <v>34591</v>
      </c>
      <c r="J3530" s="1" t="str">
        <f>"00744175"</f>
        <v>00744175</v>
      </c>
      <c r="K3530" s="1" t="str">
        <f>"３９７　　　　　　　　　　　　　　　　　"</f>
        <v>３９７　　　　　　　　　　　　　　　　　</v>
      </c>
      <c r="L3530" s="1"/>
    </row>
    <row r="3531" spans="1:12" ht="18" customHeight="1" x14ac:dyDescent="0.15">
      <c r="A3531" s="25">
        <v>3862</v>
      </c>
      <c r="B3531" s="25" t="s">
        <v>67</v>
      </c>
      <c r="C3531" s="25" t="s">
        <v>235</v>
      </c>
      <c r="D3531" s="25">
        <v>1</v>
      </c>
      <c r="E3531" s="25" t="s">
        <v>4</v>
      </c>
      <c r="F3531" s="38">
        <v>82000</v>
      </c>
      <c r="G3531" s="38" t="s">
        <v>667</v>
      </c>
      <c r="H3531" s="25" t="str">
        <f t="shared" si="112"/>
        <v>平成6年9月14日</v>
      </c>
      <c r="I3531" s="22">
        <f t="shared" si="113"/>
        <v>34591</v>
      </c>
      <c r="J3531" s="1" t="str">
        <f>"00744177"</f>
        <v>00744177</v>
      </c>
      <c r="K3531" s="1" t="str">
        <f>"３９８　　　　　　　　　　　　　　　　　"</f>
        <v>３９８　　　　　　　　　　　　　　　　　</v>
      </c>
      <c r="L3531" s="1"/>
    </row>
    <row r="3532" spans="1:12" s="40" customFormat="1" ht="18" customHeight="1" x14ac:dyDescent="0.15">
      <c r="A3532" s="25">
        <v>3863</v>
      </c>
      <c r="B3532" s="25" t="s">
        <v>67</v>
      </c>
      <c r="C3532" s="25" t="s">
        <v>236</v>
      </c>
      <c r="D3532" s="25">
        <v>1</v>
      </c>
      <c r="E3532" s="25" t="s">
        <v>4</v>
      </c>
      <c r="F3532" s="38">
        <v>75600</v>
      </c>
      <c r="G3532" s="38" t="s">
        <v>667</v>
      </c>
      <c r="H3532" s="25" t="str">
        <f t="shared" si="112"/>
        <v>平成6年9月14日</v>
      </c>
      <c r="I3532" s="39">
        <f t="shared" si="113"/>
        <v>34591</v>
      </c>
      <c r="J3532" s="25" t="str">
        <f>"00744179"</f>
        <v>00744179</v>
      </c>
      <c r="K3532" s="25" t="str">
        <f>"３９９　　　　　　　　　　　　　　　　　"</f>
        <v>３９９　　　　　　　　　　　　　　　　　</v>
      </c>
      <c r="L3532" s="25"/>
    </row>
    <row r="3533" spans="1:12" s="40" customFormat="1" ht="18" customHeight="1" x14ac:dyDescent="0.15">
      <c r="A3533" s="25">
        <v>3864</v>
      </c>
      <c r="B3533" s="25" t="s">
        <v>67</v>
      </c>
      <c r="C3533" s="25" t="s">
        <v>236</v>
      </c>
      <c r="D3533" s="25">
        <v>1</v>
      </c>
      <c r="E3533" s="25" t="s">
        <v>4</v>
      </c>
      <c r="F3533" s="38">
        <v>75600</v>
      </c>
      <c r="G3533" s="38" t="s">
        <v>667</v>
      </c>
      <c r="H3533" s="25" t="str">
        <f t="shared" si="112"/>
        <v>平成6年9月14日</v>
      </c>
      <c r="I3533" s="39">
        <f t="shared" si="113"/>
        <v>34591</v>
      </c>
      <c r="J3533" s="25" t="str">
        <f>"00744181"</f>
        <v>00744181</v>
      </c>
      <c r="K3533" s="25" t="str">
        <f>"４００　　　　　　　　　　　　　　　　　"</f>
        <v>４００　　　　　　　　　　　　　　　　　</v>
      </c>
      <c r="L3533" s="25"/>
    </row>
    <row r="3534" spans="1:12" s="40" customFormat="1" ht="18" customHeight="1" x14ac:dyDescent="0.15">
      <c r="A3534" s="25">
        <v>3865</v>
      </c>
      <c r="B3534" s="25" t="s">
        <v>67</v>
      </c>
      <c r="C3534" s="25" t="s">
        <v>236</v>
      </c>
      <c r="D3534" s="25">
        <v>1</v>
      </c>
      <c r="E3534" s="25" t="s">
        <v>4</v>
      </c>
      <c r="F3534" s="38">
        <v>75600</v>
      </c>
      <c r="G3534" s="38" t="s">
        <v>667</v>
      </c>
      <c r="H3534" s="25" t="str">
        <f t="shared" si="112"/>
        <v>平成6年9月14日</v>
      </c>
      <c r="I3534" s="39">
        <f t="shared" si="113"/>
        <v>34591</v>
      </c>
      <c r="J3534" s="25" t="str">
        <f>"00744183"</f>
        <v>00744183</v>
      </c>
      <c r="K3534" s="25" t="str">
        <f>"４０１　　　　　　　　　　　　　　　　　"</f>
        <v>４０１　　　　　　　　　　　　　　　　　</v>
      </c>
      <c r="L3534" s="25"/>
    </row>
    <row r="3535" spans="1:12" s="40" customFormat="1" ht="18" customHeight="1" x14ac:dyDescent="0.15">
      <c r="A3535" s="25">
        <v>3866</v>
      </c>
      <c r="B3535" s="25" t="s">
        <v>67</v>
      </c>
      <c r="C3535" s="25" t="s">
        <v>236</v>
      </c>
      <c r="D3535" s="25">
        <v>1</v>
      </c>
      <c r="E3535" s="25" t="s">
        <v>4</v>
      </c>
      <c r="F3535" s="38">
        <v>75600</v>
      </c>
      <c r="G3535" s="38" t="s">
        <v>667</v>
      </c>
      <c r="H3535" s="25" t="str">
        <f t="shared" ref="H3535:H3598" si="114">"平成6年9月14日"</f>
        <v>平成6年9月14日</v>
      </c>
      <c r="I3535" s="39">
        <f t="shared" si="113"/>
        <v>34591</v>
      </c>
      <c r="J3535" s="25" t="str">
        <f>"00744185"</f>
        <v>00744185</v>
      </c>
      <c r="K3535" s="25" t="str">
        <f>"４０２　　　　　　　　　　　　　　　　　"</f>
        <v>４０２　　　　　　　　　　　　　　　　　</v>
      </c>
      <c r="L3535" s="25"/>
    </row>
    <row r="3536" spans="1:12" s="40" customFormat="1" ht="18" customHeight="1" x14ac:dyDescent="0.15">
      <c r="A3536" s="25">
        <v>3867</v>
      </c>
      <c r="B3536" s="25" t="s">
        <v>67</v>
      </c>
      <c r="C3536" s="25" t="s">
        <v>236</v>
      </c>
      <c r="D3536" s="25">
        <v>1</v>
      </c>
      <c r="E3536" s="25" t="s">
        <v>4</v>
      </c>
      <c r="F3536" s="38">
        <v>75600</v>
      </c>
      <c r="G3536" s="38" t="s">
        <v>667</v>
      </c>
      <c r="H3536" s="25" t="str">
        <f t="shared" si="114"/>
        <v>平成6年9月14日</v>
      </c>
      <c r="I3536" s="39">
        <f t="shared" si="113"/>
        <v>34591</v>
      </c>
      <c r="J3536" s="25" t="str">
        <f>"00744187"</f>
        <v>00744187</v>
      </c>
      <c r="K3536" s="25" t="str">
        <f>"４０３　　　　　　　　　　　　　　　　　"</f>
        <v>４０３　　　　　　　　　　　　　　　　　</v>
      </c>
      <c r="L3536" s="25"/>
    </row>
    <row r="3537" spans="1:12" s="40" customFormat="1" ht="18" customHeight="1" x14ac:dyDescent="0.15">
      <c r="A3537" s="25">
        <v>3868</v>
      </c>
      <c r="B3537" s="25" t="s">
        <v>67</v>
      </c>
      <c r="C3537" s="25" t="s">
        <v>236</v>
      </c>
      <c r="D3537" s="25">
        <v>1</v>
      </c>
      <c r="E3537" s="25" t="s">
        <v>4</v>
      </c>
      <c r="F3537" s="38">
        <v>75600</v>
      </c>
      <c r="G3537" s="38" t="s">
        <v>667</v>
      </c>
      <c r="H3537" s="25" t="str">
        <f t="shared" si="114"/>
        <v>平成6年9月14日</v>
      </c>
      <c r="I3537" s="39">
        <f t="shared" si="113"/>
        <v>34591</v>
      </c>
      <c r="J3537" s="25" t="str">
        <f>"00744189"</f>
        <v>00744189</v>
      </c>
      <c r="K3537" s="25" t="str">
        <f>"４０４　　　　　　　　　　　　　　　　　"</f>
        <v>４０４　　　　　　　　　　　　　　　　　</v>
      </c>
      <c r="L3537" s="25"/>
    </row>
    <row r="3538" spans="1:12" s="40" customFormat="1" ht="18" customHeight="1" x14ac:dyDescent="0.15">
      <c r="A3538" s="25">
        <v>3869</v>
      </c>
      <c r="B3538" s="25" t="s">
        <v>67</v>
      </c>
      <c r="C3538" s="25" t="s">
        <v>236</v>
      </c>
      <c r="D3538" s="25">
        <v>1</v>
      </c>
      <c r="E3538" s="25" t="s">
        <v>4</v>
      </c>
      <c r="F3538" s="38">
        <v>75600</v>
      </c>
      <c r="G3538" s="38" t="s">
        <v>667</v>
      </c>
      <c r="H3538" s="25" t="str">
        <f t="shared" si="114"/>
        <v>平成6年9月14日</v>
      </c>
      <c r="I3538" s="39">
        <f t="shared" ref="I3538:I3601" si="115">DATEVALUE(H3538)</f>
        <v>34591</v>
      </c>
      <c r="J3538" s="25" t="str">
        <f>"00744191"</f>
        <v>00744191</v>
      </c>
      <c r="K3538" s="25" t="str">
        <f>"４０５　　　　　　　　　　　　　　　　　"</f>
        <v>４０５　　　　　　　　　　　　　　　　　</v>
      </c>
      <c r="L3538" s="25"/>
    </row>
    <row r="3539" spans="1:12" s="40" customFormat="1" ht="18" customHeight="1" x14ac:dyDescent="0.15">
      <c r="A3539" s="25">
        <v>3870</v>
      </c>
      <c r="B3539" s="25" t="s">
        <v>67</v>
      </c>
      <c r="C3539" s="25" t="s">
        <v>236</v>
      </c>
      <c r="D3539" s="25">
        <v>1</v>
      </c>
      <c r="E3539" s="25" t="s">
        <v>4</v>
      </c>
      <c r="F3539" s="38">
        <v>75600</v>
      </c>
      <c r="G3539" s="38" t="s">
        <v>667</v>
      </c>
      <c r="H3539" s="25" t="str">
        <f t="shared" si="114"/>
        <v>平成6年9月14日</v>
      </c>
      <c r="I3539" s="39">
        <f t="shared" si="115"/>
        <v>34591</v>
      </c>
      <c r="J3539" s="25" t="str">
        <f>"00744193"</f>
        <v>00744193</v>
      </c>
      <c r="K3539" s="25" t="str">
        <f>"４０６　　　　　　　　　　　　　　　　　"</f>
        <v>４０６　　　　　　　　　　　　　　　　　</v>
      </c>
      <c r="L3539" s="25"/>
    </row>
    <row r="3540" spans="1:12" s="40" customFormat="1" ht="18" customHeight="1" x14ac:dyDescent="0.15">
      <c r="A3540" s="25">
        <v>3871</v>
      </c>
      <c r="B3540" s="25" t="s">
        <v>67</v>
      </c>
      <c r="C3540" s="25" t="s">
        <v>236</v>
      </c>
      <c r="D3540" s="25">
        <v>1</v>
      </c>
      <c r="E3540" s="25" t="s">
        <v>4</v>
      </c>
      <c r="F3540" s="38">
        <v>75600</v>
      </c>
      <c r="G3540" s="38" t="s">
        <v>667</v>
      </c>
      <c r="H3540" s="25" t="str">
        <f t="shared" si="114"/>
        <v>平成6年9月14日</v>
      </c>
      <c r="I3540" s="39">
        <f t="shared" si="115"/>
        <v>34591</v>
      </c>
      <c r="J3540" s="25" t="str">
        <f>"00744195"</f>
        <v>00744195</v>
      </c>
      <c r="K3540" s="25" t="str">
        <f>"４０７　　　　　　　　　　　　　　　　　"</f>
        <v>４０７　　　　　　　　　　　　　　　　　</v>
      </c>
      <c r="L3540" s="25"/>
    </row>
    <row r="3541" spans="1:12" s="40" customFormat="1" ht="18" customHeight="1" x14ac:dyDescent="0.15">
      <c r="A3541" s="25">
        <v>3872</v>
      </c>
      <c r="B3541" s="25" t="s">
        <v>67</v>
      </c>
      <c r="C3541" s="25" t="s">
        <v>236</v>
      </c>
      <c r="D3541" s="25">
        <v>1</v>
      </c>
      <c r="E3541" s="25" t="s">
        <v>4</v>
      </c>
      <c r="F3541" s="38">
        <v>75600</v>
      </c>
      <c r="G3541" s="38" t="s">
        <v>667</v>
      </c>
      <c r="H3541" s="25" t="str">
        <f t="shared" si="114"/>
        <v>平成6年9月14日</v>
      </c>
      <c r="I3541" s="39">
        <f t="shared" si="115"/>
        <v>34591</v>
      </c>
      <c r="J3541" s="25" t="str">
        <f>"00744197"</f>
        <v>00744197</v>
      </c>
      <c r="K3541" s="25" t="str">
        <f>"４０８　　　　　　　　　　　　　　　　　"</f>
        <v>４０８　　　　　　　　　　　　　　　　　</v>
      </c>
      <c r="L3541" s="25"/>
    </row>
    <row r="3542" spans="1:12" s="40" customFormat="1" ht="18" customHeight="1" x14ac:dyDescent="0.15">
      <c r="A3542" s="25">
        <v>3873</v>
      </c>
      <c r="B3542" s="25" t="s">
        <v>67</v>
      </c>
      <c r="C3542" s="25" t="s">
        <v>236</v>
      </c>
      <c r="D3542" s="25">
        <v>1</v>
      </c>
      <c r="E3542" s="25" t="s">
        <v>4</v>
      </c>
      <c r="F3542" s="38">
        <v>75600</v>
      </c>
      <c r="G3542" s="38" t="s">
        <v>667</v>
      </c>
      <c r="H3542" s="25" t="str">
        <f t="shared" si="114"/>
        <v>平成6年9月14日</v>
      </c>
      <c r="I3542" s="39">
        <f t="shared" si="115"/>
        <v>34591</v>
      </c>
      <c r="J3542" s="25" t="str">
        <f>"00744199"</f>
        <v>00744199</v>
      </c>
      <c r="K3542" s="25" t="str">
        <f>"４０９　　　　　　　　　　　　　　　　　"</f>
        <v>４０９　　　　　　　　　　　　　　　　　</v>
      </c>
      <c r="L3542" s="25"/>
    </row>
    <row r="3543" spans="1:12" s="40" customFormat="1" ht="18" customHeight="1" x14ac:dyDescent="0.15">
      <c r="A3543" s="25">
        <v>3874</v>
      </c>
      <c r="B3543" s="25" t="s">
        <v>67</v>
      </c>
      <c r="C3543" s="25" t="s">
        <v>236</v>
      </c>
      <c r="D3543" s="25">
        <v>1</v>
      </c>
      <c r="E3543" s="25" t="s">
        <v>4</v>
      </c>
      <c r="F3543" s="38">
        <v>75600</v>
      </c>
      <c r="G3543" s="38" t="s">
        <v>667</v>
      </c>
      <c r="H3543" s="25" t="str">
        <f t="shared" si="114"/>
        <v>平成6年9月14日</v>
      </c>
      <c r="I3543" s="39">
        <f t="shared" si="115"/>
        <v>34591</v>
      </c>
      <c r="J3543" s="25" t="str">
        <f>"00744201"</f>
        <v>00744201</v>
      </c>
      <c r="K3543" s="25" t="str">
        <f>"４１０　　　　　　　　　　　　　　　　　"</f>
        <v>４１０　　　　　　　　　　　　　　　　　</v>
      </c>
      <c r="L3543" s="25"/>
    </row>
    <row r="3544" spans="1:12" s="40" customFormat="1" ht="18" customHeight="1" x14ac:dyDescent="0.15">
      <c r="A3544" s="25">
        <v>3875</v>
      </c>
      <c r="B3544" s="25" t="s">
        <v>67</v>
      </c>
      <c r="C3544" s="25" t="s">
        <v>236</v>
      </c>
      <c r="D3544" s="25">
        <v>1</v>
      </c>
      <c r="E3544" s="25" t="s">
        <v>4</v>
      </c>
      <c r="F3544" s="38">
        <v>75600</v>
      </c>
      <c r="G3544" s="38" t="s">
        <v>667</v>
      </c>
      <c r="H3544" s="25" t="str">
        <f t="shared" si="114"/>
        <v>平成6年9月14日</v>
      </c>
      <c r="I3544" s="39">
        <f t="shared" si="115"/>
        <v>34591</v>
      </c>
      <c r="J3544" s="25" t="str">
        <f>"00744203"</f>
        <v>00744203</v>
      </c>
      <c r="K3544" s="25" t="str">
        <f>"４１１　　　　　　　　　　　　　　　　　"</f>
        <v>４１１　　　　　　　　　　　　　　　　　</v>
      </c>
      <c r="L3544" s="25"/>
    </row>
    <row r="3545" spans="1:12" s="40" customFormat="1" ht="18" customHeight="1" x14ac:dyDescent="0.15">
      <c r="A3545" s="25">
        <v>3876</v>
      </c>
      <c r="B3545" s="25" t="s">
        <v>67</v>
      </c>
      <c r="C3545" s="25" t="s">
        <v>236</v>
      </c>
      <c r="D3545" s="25">
        <v>1</v>
      </c>
      <c r="E3545" s="25" t="s">
        <v>4</v>
      </c>
      <c r="F3545" s="38">
        <v>75600</v>
      </c>
      <c r="G3545" s="38" t="s">
        <v>667</v>
      </c>
      <c r="H3545" s="25" t="str">
        <f t="shared" si="114"/>
        <v>平成6年9月14日</v>
      </c>
      <c r="I3545" s="39">
        <f t="shared" si="115"/>
        <v>34591</v>
      </c>
      <c r="J3545" s="25" t="str">
        <f>"00744205"</f>
        <v>00744205</v>
      </c>
      <c r="K3545" s="25" t="str">
        <f>"４１２　　　　　　　　　　　　　　　　　"</f>
        <v>４１２　　　　　　　　　　　　　　　　　</v>
      </c>
      <c r="L3545" s="25"/>
    </row>
    <row r="3546" spans="1:12" s="40" customFormat="1" ht="18" customHeight="1" x14ac:dyDescent="0.15">
      <c r="A3546" s="25">
        <v>3877</v>
      </c>
      <c r="B3546" s="25" t="s">
        <v>67</v>
      </c>
      <c r="C3546" s="25" t="s">
        <v>236</v>
      </c>
      <c r="D3546" s="25">
        <v>1</v>
      </c>
      <c r="E3546" s="25" t="s">
        <v>4</v>
      </c>
      <c r="F3546" s="38">
        <v>75600</v>
      </c>
      <c r="G3546" s="38" t="s">
        <v>667</v>
      </c>
      <c r="H3546" s="25" t="str">
        <f t="shared" si="114"/>
        <v>平成6年9月14日</v>
      </c>
      <c r="I3546" s="39">
        <f t="shared" si="115"/>
        <v>34591</v>
      </c>
      <c r="J3546" s="25" t="str">
        <f>"00744207"</f>
        <v>00744207</v>
      </c>
      <c r="K3546" s="25" t="str">
        <f>"４１３　　　　　　　　　　　　　　　　　"</f>
        <v>４１３　　　　　　　　　　　　　　　　　</v>
      </c>
      <c r="L3546" s="25"/>
    </row>
    <row r="3547" spans="1:12" s="40" customFormat="1" ht="18" customHeight="1" x14ac:dyDescent="0.15">
      <c r="A3547" s="25">
        <v>3878</v>
      </c>
      <c r="B3547" s="25" t="s">
        <v>67</v>
      </c>
      <c r="C3547" s="25" t="s">
        <v>236</v>
      </c>
      <c r="D3547" s="25">
        <v>1</v>
      </c>
      <c r="E3547" s="25" t="s">
        <v>4</v>
      </c>
      <c r="F3547" s="38">
        <v>75600</v>
      </c>
      <c r="G3547" s="38" t="s">
        <v>667</v>
      </c>
      <c r="H3547" s="25" t="str">
        <f t="shared" si="114"/>
        <v>平成6年9月14日</v>
      </c>
      <c r="I3547" s="39">
        <f t="shared" si="115"/>
        <v>34591</v>
      </c>
      <c r="J3547" s="25" t="str">
        <f>"00744209"</f>
        <v>00744209</v>
      </c>
      <c r="K3547" s="25" t="str">
        <f>"４１４　　　　　　　　　　　　　　　　　"</f>
        <v>４１４　　　　　　　　　　　　　　　　　</v>
      </c>
      <c r="L3547" s="25"/>
    </row>
    <row r="3548" spans="1:12" s="40" customFormat="1" ht="18" customHeight="1" x14ac:dyDescent="0.15">
      <c r="A3548" s="25">
        <v>3879</v>
      </c>
      <c r="B3548" s="25" t="s">
        <v>67</v>
      </c>
      <c r="C3548" s="25" t="s">
        <v>236</v>
      </c>
      <c r="D3548" s="25">
        <v>1</v>
      </c>
      <c r="E3548" s="25" t="s">
        <v>4</v>
      </c>
      <c r="F3548" s="38">
        <v>75600</v>
      </c>
      <c r="G3548" s="38" t="s">
        <v>667</v>
      </c>
      <c r="H3548" s="25" t="str">
        <f t="shared" si="114"/>
        <v>平成6年9月14日</v>
      </c>
      <c r="I3548" s="39">
        <f t="shared" si="115"/>
        <v>34591</v>
      </c>
      <c r="J3548" s="25" t="str">
        <f>"00744211"</f>
        <v>00744211</v>
      </c>
      <c r="K3548" s="25" t="str">
        <f>"４１５　　　　　　　　　　　　　　　　　"</f>
        <v>４１５　　　　　　　　　　　　　　　　　</v>
      </c>
      <c r="L3548" s="25"/>
    </row>
    <row r="3549" spans="1:12" s="40" customFormat="1" ht="18" customHeight="1" x14ac:dyDescent="0.15">
      <c r="A3549" s="25">
        <v>3880</v>
      </c>
      <c r="B3549" s="25" t="s">
        <v>67</v>
      </c>
      <c r="C3549" s="25" t="s">
        <v>236</v>
      </c>
      <c r="D3549" s="25">
        <v>1</v>
      </c>
      <c r="E3549" s="25" t="s">
        <v>4</v>
      </c>
      <c r="F3549" s="38">
        <v>75600</v>
      </c>
      <c r="G3549" s="38" t="s">
        <v>667</v>
      </c>
      <c r="H3549" s="25" t="str">
        <f t="shared" si="114"/>
        <v>平成6年9月14日</v>
      </c>
      <c r="I3549" s="39">
        <f t="shared" si="115"/>
        <v>34591</v>
      </c>
      <c r="J3549" s="25" t="str">
        <f>"00744213"</f>
        <v>00744213</v>
      </c>
      <c r="K3549" s="25" t="str">
        <f>"４１６　　　　　　　　　　　　　　　　　"</f>
        <v>４１６　　　　　　　　　　　　　　　　　</v>
      </c>
      <c r="L3549" s="25"/>
    </row>
    <row r="3550" spans="1:12" s="40" customFormat="1" ht="18" customHeight="1" x14ac:dyDescent="0.15">
      <c r="A3550" s="25">
        <v>3881</v>
      </c>
      <c r="B3550" s="25" t="s">
        <v>67</v>
      </c>
      <c r="C3550" s="25" t="s">
        <v>236</v>
      </c>
      <c r="D3550" s="25">
        <v>1</v>
      </c>
      <c r="E3550" s="25" t="s">
        <v>4</v>
      </c>
      <c r="F3550" s="38">
        <v>75600</v>
      </c>
      <c r="G3550" s="38" t="s">
        <v>667</v>
      </c>
      <c r="H3550" s="25" t="str">
        <f t="shared" si="114"/>
        <v>平成6年9月14日</v>
      </c>
      <c r="I3550" s="39">
        <f t="shared" si="115"/>
        <v>34591</v>
      </c>
      <c r="J3550" s="25" t="str">
        <f>"00744215"</f>
        <v>00744215</v>
      </c>
      <c r="K3550" s="25" t="str">
        <f>"４１７　　　　　　　　　　　　　　　　　"</f>
        <v>４１７　　　　　　　　　　　　　　　　　</v>
      </c>
      <c r="L3550" s="25"/>
    </row>
    <row r="3551" spans="1:12" s="40" customFormat="1" ht="18" customHeight="1" x14ac:dyDescent="0.15">
      <c r="A3551" s="25">
        <v>3882</v>
      </c>
      <c r="B3551" s="25" t="s">
        <v>67</v>
      </c>
      <c r="C3551" s="25" t="s">
        <v>236</v>
      </c>
      <c r="D3551" s="25">
        <v>1</v>
      </c>
      <c r="E3551" s="25" t="s">
        <v>4</v>
      </c>
      <c r="F3551" s="38">
        <v>75600</v>
      </c>
      <c r="G3551" s="38" t="s">
        <v>667</v>
      </c>
      <c r="H3551" s="25" t="str">
        <f t="shared" si="114"/>
        <v>平成6年9月14日</v>
      </c>
      <c r="I3551" s="39">
        <f t="shared" si="115"/>
        <v>34591</v>
      </c>
      <c r="J3551" s="25" t="str">
        <f>"00744217"</f>
        <v>00744217</v>
      </c>
      <c r="K3551" s="25" t="str">
        <f>"４１８　　　　　　　　　　　　　　　　　"</f>
        <v>４１８　　　　　　　　　　　　　　　　　</v>
      </c>
      <c r="L3551" s="25"/>
    </row>
    <row r="3552" spans="1:12" s="40" customFormat="1" ht="18" customHeight="1" x14ac:dyDescent="0.15">
      <c r="A3552" s="25">
        <v>3883</v>
      </c>
      <c r="B3552" s="25" t="s">
        <v>67</v>
      </c>
      <c r="C3552" s="25" t="s">
        <v>236</v>
      </c>
      <c r="D3552" s="25">
        <v>1</v>
      </c>
      <c r="E3552" s="25" t="s">
        <v>4</v>
      </c>
      <c r="F3552" s="38">
        <v>75600</v>
      </c>
      <c r="G3552" s="38" t="s">
        <v>667</v>
      </c>
      <c r="H3552" s="25" t="str">
        <f t="shared" si="114"/>
        <v>平成6年9月14日</v>
      </c>
      <c r="I3552" s="39">
        <f t="shared" si="115"/>
        <v>34591</v>
      </c>
      <c r="J3552" s="25" t="str">
        <f>"00744219"</f>
        <v>00744219</v>
      </c>
      <c r="K3552" s="25" t="str">
        <f>"４１９　　　　　　　　　　　　　　　　　"</f>
        <v>４１９　　　　　　　　　　　　　　　　　</v>
      </c>
      <c r="L3552" s="25"/>
    </row>
    <row r="3553" spans="1:12" s="40" customFormat="1" ht="18" customHeight="1" x14ac:dyDescent="0.15">
      <c r="A3553" s="25">
        <v>3884</v>
      </c>
      <c r="B3553" s="25" t="s">
        <v>67</v>
      </c>
      <c r="C3553" s="25" t="s">
        <v>236</v>
      </c>
      <c r="D3553" s="25">
        <v>1</v>
      </c>
      <c r="E3553" s="25" t="s">
        <v>4</v>
      </c>
      <c r="F3553" s="38">
        <v>75600</v>
      </c>
      <c r="G3553" s="38" t="s">
        <v>667</v>
      </c>
      <c r="H3553" s="25" t="str">
        <f t="shared" si="114"/>
        <v>平成6年9月14日</v>
      </c>
      <c r="I3553" s="39">
        <f t="shared" si="115"/>
        <v>34591</v>
      </c>
      <c r="J3553" s="25" t="str">
        <f>"00744221"</f>
        <v>00744221</v>
      </c>
      <c r="K3553" s="25" t="str">
        <f>"４２０　　　　　　　　　　　　　　　　　"</f>
        <v>４２０　　　　　　　　　　　　　　　　　</v>
      </c>
      <c r="L3553" s="25"/>
    </row>
    <row r="3554" spans="1:12" s="40" customFormat="1" ht="18" customHeight="1" x14ac:dyDescent="0.15">
      <c r="A3554" s="25">
        <v>3885</v>
      </c>
      <c r="B3554" s="25" t="s">
        <v>67</v>
      </c>
      <c r="C3554" s="25" t="s">
        <v>236</v>
      </c>
      <c r="D3554" s="25">
        <v>1</v>
      </c>
      <c r="E3554" s="25" t="s">
        <v>4</v>
      </c>
      <c r="F3554" s="38">
        <v>75600</v>
      </c>
      <c r="G3554" s="38" t="s">
        <v>667</v>
      </c>
      <c r="H3554" s="25" t="str">
        <f t="shared" si="114"/>
        <v>平成6年9月14日</v>
      </c>
      <c r="I3554" s="39">
        <f t="shared" si="115"/>
        <v>34591</v>
      </c>
      <c r="J3554" s="25" t="str">
        <f>"00744223"</f>
        <v>00744223</v>
      </c>
      <c r="K3554" s="25" t="str">
        <f>"４２１　　　　　　　　　　　　　　　　　"</f>
        <v>４２１　　　　　　　　　　　　　　　　　</v>
      </c>
      <c r="L3554" s="25"/>
    </row>
    <row r="3555" spans="1:12" s="40" customFormat="1" ht="18" customHeight="1" x14ac:dyDescent="0.15">
      <c r="A3555" s="25">
        <v>3886</v>
      </c>
      <c r="B3555" s="25" t="s">
        <v>67</v>
      </c>
      <c r="C3555" s="25" t="s">
        <v>236</v>
      </c>
      <c r="D3555" s="25">
        <v>1</v>
      </c>
      <c r="E3555" s="25" t="s">
        <v>4</v>
      </c>
      <c r="F3555" s="38">
        <v>75600</v>
      </c>
      <c r="G3555" s="38" t="s">
        <v>667</v>
      </c>
      <c r="H3555" s="25" t="str">
        <f t="shared" si="114"/>
        <v>平成6年9月14日</v>
      </c>
      <c r="I3555" s="39">
        <f t="shared" si="115"/>
        <v>34591</v>
      </c>
      <c r="J3555" s="25" t="str">
        <f>"00744225"</f>
        <v>00744225</v>
      </c>
      <c r="K3555" s="25" t="str">
        <f>"４２２　　　　　　　　　　　　　　　　　"</f>
        <v>４２２　　　　　　　　　　　　　　　　　</v>
      </c>
      <c r="L3555" s="25"/>
    </row>
    <row r="3556" spans="1:12" s="40" customFormat="1" ht="18" customHeight="1" x14ac:dyDescent="0.15">
      <c r="A3556" s="25">
        <v>3887</v>
      </c>
      <c r="B3556" s="25" t="s">
        <v>67</v>
      </c>
      <c r="C3556" s="25" t="s">
        <v>236</v>
      </c>
      <c r="D3556" s="25">
        <v>1</v>
      </c>
      <c r="E3556" s="25" t="s">
        <v>4</v>
      </c>
      <c r="F3556" s="38">
        <v>75600</v>
      </c>
      <c r="G3556" s="38" t="s">
        <v>667</v>
      </c>
      <c r="H3556" s="25" t="str">
        <f t="shared" si="114"/>
        <v>平成6年9月14日</v>
      </c>
      <c r="I3556" s="39">
        <f t="shared" si="115"/>
        <v>34591</v>
      </c>
      <c r="J3556" s="25" t="str">
        <f>"00744227"</f>
        <v>00744227</v>
      </c>
      <c r="K3556" s="25" t="str">
        <f>"４２３　　　　　　　　　　　　　　　　　"</f>
        <v>４２３　　　　　　　　　　　　　　　　　</v>
      </c>
      <c r="L3556" s="25"/>
    </row>
    <row r="3557" spans="1:12" s="40" customFormat="1" ht="18" customHeight="1" x14ac:dyDescent="0.15">
      <c r="A3557" s="25">
        <v>3888</v>
      </c>
      <c r="B3557" s="25" t="s">
        <v>67</v>
      </c>
      <c r="C3557" s="25" t="s">
        <v>236</v>
      </c>
      <c r="D3557" s="25">
        <v>1</v>
      </c>
      <c r="E3557" s="25" t="s">
        <v>4</v>
      </c>
      <c r="F3557" s="38">
        <v>75600</v>
      </c>
      <c r="G3557" s="38" t="s">
        <v>667</v>
      </c>
      <c r="H3557" s="25" t="str">
        <f t="shared" si="114"/>
        <v>平成6年9月14日</v>
      </c>
      <c r="I3557" s="39">
        <f t="shared" si="115"/>
        <v>34591</v>
      </c>
      <c r="J3557" s="25" t="str">
        <f>"00744229"</f>
        <v>00744229</v>
      </c>
      <c r="K3557" s="25" t="str">
        <f>"４２４　　　　　　　　　　　　　　　　　"</f>
        <v>４２４　　　　　　　　　　　　　　　　　</v>
      </c>
      <c r="L3557" s="25"/>
    </row>
    <row r="3558" spans="1:12" s="40" customFormat="1" ht="18" customHeight="1" x14ac:dyDescent="0.15">
      <c r="A3558" s="25">
        <v>3889</v>
      </c>
      <c r="B3558" s="25" t="s">
        <v>67</v>
      </c>
      <c r="C3558" s="25" t="s">
        <v>236</v>
      </c>
      <c r="D3558" s="25">
        <v>1</v>
      </c>
      <c r="E3558" s="25" t="s">
        <v>4</v>
      </c>
      <c r="F3558" s="38">
        <v>75600</v>
      </c>
      <c r="G3558" s="38" t="s">
        <v>667</v>
      </c>
      <c r="H3558" s="25" t="str">
        <f t="shared" si="114"/>
        <v>平成6年9月14日</v>
      </c>
      <c r="I3558" s="39">
        <f t="shared" si="115"/>
        <v>34591</v>
      </c>
      <c r="J3558" s="25" t="str">
        <f>"00744231"</f>
        <v>00744231</v>
      </c>
      <c r="K3558" s="25" t="str">
        <f>"４２５　　　　　　　　　　　　　　　　　"</f>
        <v>４２５　　　　　　　　　　　　　　　　　</v>
      </c>
      <c r="L3558" s="25"/>
    </row>
    <row r="3559" spans="1:12" s="40" customFormat="1" ht="18" customHeight="1" x14ac:dyDescent="0.15">
      <c r="A3559" s="25">
        <v>3890</v>
      </c>
      <c r="B3559" s="25" t="s">
        <v>67</v>
      </c>
      <c r="C3559" s="25" t="s">
        <v>236</v>
      </c>
      <c r="D3559" s="25">
        <v>1</v>
      </c>
      <c r="E3559" s="25" t="s">
        <v>4</v>
      </c>
      <c r="F3559" s="38">
        <v>75600</v>
      </c>
      <c r="G3559" s="38" t="s">
        <v>667</v>
      </c>
      <c r="H3559" s="25" t="str">
        <f t="shared" si="114"/>
        <v>平成6年9月14日</v>
      </c>
      <c r="I3559" s="39">
        <f t="shared" si="115"/>
        <v>34591</v>
      </c>
      <c r="J3559" s="25" t="str">
        <f>"00744233"</f>
        <v>00744233</v>
      </c>
      <c r="K3559" s="25" t="str">
        <f>"４２６　　　　　　　　　　　　　　　　　"</f>
        <v>４２６　　　　　　　　　　　　　　　　　</v>
      </c>
      <c r="L3559" s="25"/>
    </row>
    <row r="3560" spans="1:12" s="40" customFormat="1" ht="18" customHeight="1" x14ac:dyDescent="0.15">
      <c r="A3560" s="25">
        <v>3891</v>
      </c>
      <c r="B3560" s="25" t="s">
        <v>67</v>
      </c>
      <c r="C3560" s="25" t="s">
        <v>236</v>
      </c>
      <c r="D3560" s="25">
        <v>1</v>
      </c>
      <c r="E3560" s="25" t="s">
        <v>4</v>
      </c>
      <c r="F3560" s="38">
        <v>75600</v>
      </c>
      <c r="G3560" s="38" t="s">
        <v>667</v>
      </c>
      <c r="H3560" s="25" t="str">
        <f t="shared" si="114"/>
        <v>平成6年9月14日</v>
      </c>
      <c r="I3560" s="39">
        <f t="shared" si="115"/>
        <v>34591</v>
      </c>
      <c r="J3560" s="25" t="str">
        <f>"00744235"</f>
        <v>00744235</v>
      </c>
      <c r="K3560" s="25" t="str">
        <f>"４２７　　　　　　　　　　　　　　　　　"</f>
        <v>４２７　　　　　　　　　　　　　　　　　</v>
      </c>
      <c r="L3560" s="25"/>
    </row>
    <row r="3561" spans="1:12" s="40" customFormat="1" ht="18" customHeight="1" x14ac:dyDescent="0.15">
      <c r="A3561" s="25">
        <v>3892</v>
      </c>
      <c r="B3561" s="25" t="s">
        <v>67</v>
      </c>
      <c r="C3561" s="25" t="s">
        <v>236</v>
      </c>
      <c r="D3561" s="25">
        <v>1</v>
      </c>
      <c r="E3561" s="25" t="s">
        <v>4</v>
      </c>
      <c r="F3561" s="38">
        <v>75600</v>
      </c>
      <c r="G3561" s="38" t="s">
        <v>667</v>
      </c>
      <c r="H3561" s="25" t="str">
        <f t="shared" si="114"/>
        <v>平成6年9月14日</v>
      </c>
      <c r="I3561" s="39">
        <f t="shared" si="115"/>
        <v>34591</v>
      </c>
      <c r="J3561" s="25" t="str">
        <f>"00744237"</f>
        <v>00744237</v>
      </c>
      <c r="K3561" s="25" t="str">
        <f>"４２８　　　　　　　　　　　　　　　　　"</f>
        <v>４２８　　　　　　　　　　　　　　　　　</v>
      </c>
      <c r="L3561" s="25"/>
    </row>
    <row r="3562" spans="1:12" s="40" customFormat="1" ht="18" customHeight="1" x14ac:dyDescent="0.15">
      <c r="A3562" s="25">
        <v>3893</v>
      </c>
      <c r="B3562" s="25" t="s">
        <v>67</v>
      </c>
      <c r="C3562" s="25" t="s">
        <v>236</v>
      </c>
      <c r="D3562" s="25">
        <v>1</v>
      </c>
      <c r="E3562" s="25" t="s">
        <v>4</v>
      </c>
      <c r="F3562" s="38">
        <v>75600</v>
      </c>
      <c r="G3562" s="38" t="s">
        <v>667</v>
      </c>
      <c r="H3562" s="25" t="str">
        <f t="shared" si="114"/>
        <v>平成6年9月14日</v>
      </c>
      <c r="I3562" s="39">
        <f t="shared" si="115"/>
        <v>34591</v>
      </c>
      <c r="J3562" s="25" t="str">
        <f>"00744239"</f>
        <v>00744239</v>
      </c>
      <c r="K3562" s="25" t="str">
        <f>"４２９　　　　　　　　　　　　　　　　　"</f>
        <v>４２９　　　　　　　　　　　　　　　　　</v>
      </c>
      <c r="L3562" s="25"/>
    </row>
    <row r="3563" spans="1:12" s="40" customFormat="1" ht="18" customHeight="1" x14ac:dyDescent="0.15">
      <c r="A3563" s="25">
        <v>3894</v>
      </c>
      <c r="B3563" s="25" t="s">
        <v>67</v>
      </c>
      <c r="C3563" s="25" t="s">
        <v>237</v>
      </c>
      <c r="D3563" s="25">
        <v>1</v>
      </c>
      <c r="E3563" s="25" t="s">
        <v>4</v>
      </c>
      <c r="F3563" s="38">
        <v>25410</v>
      </c>
      <c r="G3563" s="38" t="s">
        <v>667</v>
      </c>
      <c r="H3563" s="25" t="str">
        <f t="shared" si="114"/>
        <v>平成6年9月14日</v>
      </c>
      <c r="I3563" s="39">
        <f t="shared" si="115"/>
        <v>34591</v>
      </c>
      <c r="J3563" s="25" t="str">
        <f>"00744241"</f>
        <v>00744241</v>
      </c>
      <c r="K3563" s="25" t="str">
        <f>"４３０　　　　　　　　　　　　　　　　　"</f>
        <v>４３０　　　　　　　　　　　　　　　　　</v>
      </c>
      <c r="L3563" s="25"/>
    </row>
    <row r="3564" spans="1:12" s="40" customFormat="1" ht="18" customHeight="1" x14ac:dyDescent="0.15">
      <c r="A3564" s="25">
        <v>3895</v>
      </c>
      <c r="B3564" s="25" t="s">
        <v>67</v>
      </c>
      <c r="C3564" s="25" t="s">
        <v>237</v>
      </c>
      <c r="D3564" s="25">
        <v>1</v>
      </c>
      <c r="E3564" s="25" t="s">
        <v>4</v>
      </c>
      <c r="F3564" s="38">
        <v>25410</v>
      </c>
      <c r="G3564" s="38" t="s">
        <v>667</v>
      </c>
      <c r="H3564" s="25" t="str">
        <f t="shared" si="114"/>
        <v>平成6年9月14日</v>
      </c>
      <c r="I3564" s="39">
        <f t="shared" si="115"/>
        <v>34591</v>
      </c>
      <c r="J3564" s="25" t="str">
        <f>"00744243"</f>
        <v>00744243</v>
      </c>
      <c r="K3564" s="25" t="str">
        <f>"４３１　　　　　　　　　　　　　　　　　"</f>
        <v>４３１　　　　　　　　　　　　　　　　　</v>
      </c>
      <c r="L3564" s="25"/>
    </row>
    <row r="3565" spans="1:12" s="40" customFormat="1" ht="18" customHeight="1" x14ac:dyDescent="0.15">
      <c r="A3565" s="25">
        <v>3896</v>
      </c>
      <c r="B3565" s="25" t="s">
        <v>67</v>
      </c>
      <c r="C3565" s="25" t="s">
        <v>237</v>
      </c>
      <c r="D3565" s="25">
        <v>1</v>
      </c>
      <c r="E3565" s="25" t="s">
        <v>4</v>
      </c>
      <c r="F3565" s="38">
        <v>25410</v>
      </c>
      <c r="G3565" s="38" t="s">
        <v>667</v>
      </c>
      <c r="H3565" s="25" t="str">
        <f t="shared" si="114"/>
        <v>平成6年9月14日</v>
      </c>
      <c r="I3565" s="39">
        <f t="shared" si="115"/>
        <v>34591</v>
      </c>
      <c r="J3565" s="25" t="str">
        <f>"00744245"</f>
        <v>00744245</v>
      </c>
      <c r="K3565" s="25" t="str">
        <f>"４３２　　　　　　　　　　　　　　　　　"</f>
        <v>４３２　　　　　　　　　　　　　　　　　</v>
      </c>
      <c r="L3565" s="25"/>
    </row>
    <row r="3566" spans="1:12" s="40" customFormat="1" ht="18" customHeight="1" x14ac:dyDescent="0.15">
      <c r="A3566" s="25">
        <v>3897</v>
      </c>
      <c r="B3566" s="25" t="s">
        <v>67</v>
      </c>
      <c r="C3566" s="25" t="s">
        <v>237</v>
      </c>
      <c r="D3566" s="25">
        <v>1</v>
      </c>
      <c r="E3566" s="25" t="s">
        <v>4</v>
      </c>
      <c r="F3566" s="38">
        <v>25410</v>
      </c>
      <c r="G3566" s="38" t="s">
        <v>667</v>
      </c>
      <c r="H3566" s="25" t="str">
        <f t="shared" si="114"/>
        <v>平成6年9月14日</v>
      </c>
      <c r="I3566" s="39">
        <f t="shared" si="115"/>
        <v>34591</v>
      </c>
      <c r="J3566" s="25" t="str">
        <f>"00744247"</f>
        <v>00744247</v>
      </c>
      <c r="K3566" s="25" t="str">
        <f>"４３３　　　　　　　　　　　　　　　　　"</f>
        <v>４３３　　　　　　　　　　　　　　　　　</v>
      </c>
      <c r="L3566" s="25"/>
    </row>
    <row r="3567" spans="1:12" s="40" customFormat="1" ht="18" customHeight="1" x14ac:dyDescent="0.15">
      <c r="A3567" s="25">
        <v>3898</v>
      </c>
      <c r="B3567" s="25" t="s">
        <v>67</v>
      </c>
      <c r="C3567" s="25" t="s">
        <v>237</v>
      </c>
      <c r="D3567" s="25">
        <v>1</v>
      </c>
      <c r="E3567" s="25" t="s">
        <v>4</v>
      </c>
      <c r="F3567" s="38">
        <v>25410</v>
      </c>
      <c r="G3567" s="38" t="s">
        <v>667</v>
      </c>
      <c r="H3567" s="25" t="str">
        <f t="shared" si="114"/>
        <v>平成6年9月14日</v>
      </c>
      <c r="I3567" s="39">
        <f t="shared" si="115"/>
        <v>34591</v>
      </c>
      <c r="J3567" s="25" t="str">
        <f>"00744249"</f>
        <v>00744249</v>
      </c>
      <c r="K3567" s="25" t="str">
        <f>"４３４　　　　　　　　　　　　　　　　　"</f>
        <v>４３４　　　　　　　　　　　　　　　　　</v>
      </c>
      <c r="L3567" s="25"/>
    </row>
    <row r="3568" spans="1:12" s="40" customFormat="1" ht="18" customHeight="1" x14ac:dyDescent="0.15">
      <c r="A3568" s="25">
        <v>3899</v>
      </c>
      <c r="B3568" s="25" t="s">
        <v>67</v>
      </c>
      <c r="C3568" s="25" t="s">
        <v>237</v>
      </c>
      <c r="D3568" s="25">
        <v>1</v>
      </c>
      <c r="E3568" s="25" t="s">
        <v>4</v>
      </c>
      <c r="F3568" s="38">
        <v>25410</v>
      </c>
      <c r="G3568" s="38" t="s">
        <v>667</v>
      </c>
      <c r="H3568" s="25" t="str">
        <f t="shared" si="114"/>
        <v>平成6年9月14日</v>
      </c>
      <c r="I3568" s="39">
        <f t="shared" si="115"/>
        <v>34591</v>
      </c>
      <c r="J3568" s="25" t="str">
        <f>"00744251"</f>
        <v>00744251</v>
      </c>
      <c r="K3568" s="25" t="str">
        <f>"４３５　　　　　　　　　　　　　　　　　"</f>
        <v>４３５　　　　　　　　　　　　　　　　　</v>
      </c>
      <c r="L3568" s="25"/>
    </row>
    <row r="3569" spans="1:12" s="40" customFormat="1" ht="18" customHeight="1" x14ac:dyDescent="0.15">
      <c r="A3569" s="25">
        <v>3900</v>
      </c>
      <c r="B3569" s="25" t="s">
        <v>67</v>
      </c>
      <c r="C3569" s="25" t="s">
        <v>237</v>
      </c>
      <c r="D3569" s="25">
        <v>1</v>
      </c>
      <c r="E3569" s="25" t="s">
        <v>4</v>
      </c>
      <c r="F3569" s="38">
        <v>25410</v>
      </c>
      <c r="G3569" s="38" t="s">
        <v>667</v>
      </c>
      <c r="H3569" s="25" t="str">
        <f t="shared" si="114"/>
        <v>平成6年9月14日</v>
      </c>
      <c r="I3569" s="39">
        <f t="shared" si="115"/>
        <v>34591</v>
      </c>
      <c r="J3569" s="25" t="str">
        <f>"00744253"</f>
        <v>00744253</v>
      </c>
      <c r="K3569" s="25" t="str">
        <f>"４３６　　　　　　　　　　　　　　　　　"</f>
        <v>４３６　　　　　　　　　　　　　　　　　</v>
      </c>
      <c r="L3569" s="25"/>
    </row>
    <row r="3570" spans="1:12" s="40" customFormat="1" ht="18" customHeight="1" x14ac:dyDescent="0.15">
      <c r="A3570" s="25">
        <v>3901</v>
      </c>
      <c r="B3570" s="25" t="s">
        <v>67</v>
      </c>
      <c r="C3570" s="25" t="s">
        <v>237</v>
      </c>
      <c r="D3570" s="25">
        <v>1</v>
      </c>
      <c r="E3570" s="25" t="s">
        <v>4</v>
      </c>
      <c r="F3570" s="38">
        <v>25410</v>
      </c>
      <c r="G3570" s="38" t="s">
        <v>667</v>
      </c>
      <c r="H3570" s="25" t="str">
        <f t="shared" si="114"/>
        <v>平成6年9月14日</v>
      </c>
      <c r="I3570" s="39">
        <f t="shared" si="115"/>
        <v>34591</v>
      </c>
      <c r="J3570" s="25" t="str">
        <f>"00744255"</f>
        <v>00744255</v>
      </c>
      <c r="K3570" s="25" t="str">
        <f>"４３７　　　　　　　　　　　　　　　　　"</f>
        <v>４３７　　　　　　　　　　　　　　　　　</v>
      </c>
      <c r="L3570" s="25"/>
    </row>
    <row r="3571" spans="1:12" s="40" customFormat="1" ht="18" customHeight="1" x14ac:dyDescent="0.15">
      <c r="A3571" s="25">
        <v>3902</v>
      </c>
      <c r="B3571" s="25" t="s">
        <v>67</v>
      </c>
      <c r="C3571" s="25" t="s">
        <v>237</v>
      </c>
      <c r="D3571" s="25">
        <v>1</v>
      </c>
      <c r="E3571" s="25" t="s">
        <v>4</v>
      </c>
      <c r="F3571" s="38">
        <v>25410</v>
      </c>
      <c r="G3571" s="38" t="s">
        <v>667</v>
      </c>
      <c r="H3571" s="25" t="str">
        <f t="shared" si="114"/>
        <v>平成6年9月14日</v>
      </c>
      <c r="I3571" s="39">
        <f t="shared" si="115"/>
        <v>34591</v>
      </c>
      <c r="J3571" s="25" t="str">
        <f>"00744257"</f>
        <v>00744257</v>
      </c>
      <c r="K3571" s="25" t="str">
        <f>"４３８　　　　　　　　　　　　　　　　　"</f>
        <v>４３８　　　　　　　　　　　　　　　　　</v>
      </c>
      <c r="L3571" s="25"/>
    </row>
    <row r="3572" spans="1:12" s="40" customFormat="1" ht="18" customHeight="1" x14ac:dyDescent="0.15">
      <c r="A3572" s="25">
        <v>3903</v>
      </c>
      <c r="B3572" s="25" t="s">
        <v>67</v>
      </c>
      <c r="C3572" s="25" t="s">
        <v>237</v>
      </c>
      <c r="D3572" s="25">
        <v>1</v>
      </c>
      <c r="E3572" s="25" t="s">
        <v>4</v>
      </c>
      <c r="F3572" s="38">
        <v>25410</v>
      </c>
      <c r="G3572" s="38" t="s">
        <v>667</v>
      </c>
      <c r="H3572" s="25" t="str">
        <f t="shared" si="114"/>
        <v>平成6年9月14日</v>
      </c>
      <c r="I3572" s="39">
        <f t="shared" si="115"/>
        <v>34591</v>
      </c>
      <c r="J3572" s="25" t="str">
        <f>"00744259"</f>
        <v>00744259</v>
      </c>
      <c r="K3572" s="25" t="str">
        <f>"４３９　　　　　　　　　　　　　　　　　"</f>
        <v>４３９　　　　　　　　　　　　　　　　　</v>
      </c>
      <c r="L3572" s="25"/>
    </row>
    <row r="3573" spans="1:12" s="40" customFormat="1" ht="18" customHeight="1" x14ac:dyDescent="0.15">
      <c r="A3573" s="25">
        <v>3904</v>
      </c>
      <c r="B3573" s="25" t="s">
        <v>67</v>
      </c>
      <c r="C3573" s="25" t="s">
        <v>237</v>
      </c>
      <c r="D3573" s="25">
        <v>1</v>
      </c>
      <c r="E3573" s="25" t="s">
        <v>4</v>
      </c>
      <c r="F3573" s="38">
        <v>25410</v>
      </c>
      <c r="G3573" s="38" t="s">
        <v>667</v>
      </c>
      <c r="H3573" s="25" t="str">
        <f t="shared" si="114"/>
        <v>平成6年9月14日</v>
      </c>
      <c r="I3573" s="39">
        <f t="shared" si="115"/>
        <v>34591</v>
      </c>
      <c r="J3573" s="25" t="str">
        <f>"00744260"</f>
        <v>00744260</v>
      </c>
      <c r="K3573" s="25" t="str">
        <f>"４４０　　　　　　　　　　　　　　　　　"</f>
        <v>４４０　　　　　　　　　　　　　　　　　</v>
      </c>
      <c r="L3573" s="25"/>
    </row>
    <row r="3574" spans="1:12" s="40" customFormat="1" ht="18" customHeight="1" x14ac:dyDescent="0.15">
      <c r="A3574" s="25">
        <v>3905</v>
      </c>
      <c r="B3574" s="25" t="s">
        <v>67</v>
      </c>
      <c r="C3574" s="25" t="s">
        <v>237</v>
      </c>
      <c r="D3574" s="25">
        <v>1</v>
      </c>
      <c r="E3574" s="25" t="s">
        <v>4</v>
      </c>
      <c r="F3574" s="38">
        <v>25410</v>
      </c>
      <c r="G3574" s="38" t="s">
        <v>667</v>
      </c>
      <c r="H3574" s="25" t="str">
        <f t="shared" si="114"/>
        <v>平成6年9月14日</v>
      </c>
      <c r="I3574" s="39">
        <f t="shared" si="115"/>
        <v>34591</v>
      </c>
      <c r="J3574" s="25" t="str">
        <f>"00744262"</f>
        <v>00744262</v>
      </c>
      <c r="K3574" s="25" t="str">
        <f>"４４１　　　　　　　　　　　　　　　　　"</f>
        <v>４４１　　　　　　　　　　　　　　　　　</v>
      </c>
      <c r="L3574" s="25"/>
    </row>
    <row r="3575" spans="1:12" s="40" customFormat="1" ht="18" customHeight="1" x14ac:dyDescent="0.15">
      <c r="A3575" s="25">
        <v>3906</v>
      </c>
      <c r="B3575" s="25" t="s">
        <v>67</v>
      </c>
      <c r="C3575" s="25" t="s">
        <v>237</v>
      </c>
      <c r="D3575" s="25">
        <v>1</v>
      </c>
      <c r="E3575" s="25" t="s">
        <v>4</v>
      </c>
      <c r="F3575" s="38">
        <v>25410</v>
      </c>
      <c r="G3575" s="38" t="s">
        <v>667</v>
      </c>
      <c r="H3575" s="25" t="str">
        <f t="shared" si="114"/>
        <v>平成6年9月14日</v>
      </c>
      <c r="I3575" s="39">
        <f t="shared" si="115"/>
        <v>34591</v>
      </c>
      <c r="J3575" s="25" t="str">
        <f>"00744264"</f>
        <v>00744264</v>
      </c>
      <c r="K3575" s="25" t="str">
        <f>"４４２　　　　　　　　　　　　　　　　　"</f>
        <v>４４２　　　　　　　　　　　　　　　　　</v>
      </c>
      <c r="L3575" s="25"/>
    </row>
    <row r="3576" spans="1:12" s="40" customFormat="1" ht="18" customHeight="1" x14ac:dyDescent="0.15">
      <c r="A3576" s="25">
        <v>3907</v>
      </c>
      <c r="B3576" s="25" t="s">
        <v>67</v>
      </c>
      <c r="C3576" s="25" t="s">
        <v>237</v>
      </c>
      <c r="D3576" s="25">
        <v>1</v>
      </c>
      <c r="E3576" s="25" t="s">
        <v>4</v>
      </c>
      <c r="F3576" s="38">
        <v>25410</v>
      </c>
      <c r="G3576" s="38" t="s">
        <v>667</v>
      </c>
      <c r="H3576" s="25" t="str">
        <f t="shared" si="114"/>
        <v>平成6年9月14日</v>
      </c>
      <c r="I3576" s="39">
        <f t="shared" si="115"/>
        <v>34591</v>
      </c>
      <c r="J3576" s="25" t="str">
        <f>"00744266"</f>
        <v>00744266</v>
      </c>
      <c r="K3576" s="25" t="str">
        <f>"４４３　　　　　　　　　　　　　　　　　"</f>
        <v>４４３　　　　　　　　　　　　　　　　　</v>
      </c>
      <c r="L3576" s="25"/>
    </row>
    <row r="3577" spans="1:12" s="40" customFormat="1" ht="18" customHeight="1" x14ac:dyDescent="0.15">
      <c r="A3577" s="25">
        <v>3908</v>
      </c>
      <c r="B3577" s="25" t="s">
        <v>67</v>
      </c>
      <c r="C3577" s="25" t="s">
        <v>237</v>
      </c>
      <c r="D3577" s="25">
        <v>1</v>
      </c>
      <c r="E3577" s="25" t="s">
        <v>4</v>
      </c>
      <c r="F3577" s="38">
        <v>25410</v>
      </c>
      <c r="G3577" s="38" t="s">
        <v>667</v>
      </c>
      <c r="H3577" s="25" t="str">
        <f t="shared" si="114"/>
        <v>平成6年9月14日</v>
      </c>
      <c r="I3577" s="39">
        <f t="shared" si="115"/>
        <v>34591</v>
      </c>
      <c r="J3577" s="25" t="str">
        <f>"00744268"</f>
        <v>00744268</v>
      </c>
      <c r="K3577" s="25" t="str">
        <f>"４４４　　　　　　　　　　　　　　　　　"</f>
        <v>４４４　　　　　　　　　　　　　　　　　</v>
      </c>
      <c r="L3577" s="25"/>
    </row>
    <row r="3578" spans="1:12" s="40" customFormat="1" ht="18" customHeight="1" x14ac:dyDescent="0.15">
      <c r="A3578" s="25">
        <v>3909</v>
      </c>
      <c r="B3578" s="25" t="s">
        <v>67</v>
      </c>
      <c r="C3578" s="25" t="s">
        <v>237</v>
      </c>
      <c r="D3578" s="25">
        <v>1</v>
      </c>
      <c r="E3578" s="25" t="s">
        <v>4</v>
      </c>
      <c r="F3578" s="38">
        <v>25410</v>
      </c>
      <c r="G3578" s="38" t="s">
        <v>667</v>
      </c>
      <c r="H3578" s="25" t="str">
        <f t="shared" si="114"/>
        <v>平成6年9月14日</v>
      </c>
      <c r="I3578" s="39">
        <f t="shared" si="115"/>
        <v>34591</v>
      </c>
      <c r="J3578" s="25" t="str">
        <f>"00744271"</f>
        <v>00744271</v>
      </c>
      <c r="K3578" s="25" t="str">
        <f>"４４５　　　　　　　　　　　　　　　　　"</f>
        <v>４４５　　　　　　　　　　　　　　　　　</v>
      </c>
      <c r="L3578" s="25"/>
    </row>
    <row r="3579" spans="1:12" s="40" customFormat="1" ht="18" customHeight="1" x14ac:dyDescent="0.15">
      <c r="A3579" s="25">
        <v>3910</v>
      </c>
      <c r="B3579" s="25" t="s">
        <v>67</v>
      </c>
      <c r="C3579" s="25" t="s">
        <v>237</v>
      </c>
      <c r="D3579" s="25">
        <v>1</v>
      </c>
      <c r="E3579" s="25" t="s">
        <v>4</v>
      </c>
      <c r="F3579" s="38">
        <v>25410</v>
      </c>
      <c r="G3579" s="38" t="s">
        <v>667</v>
      </c>
      <c r="H3579" s="25" t="str">
        <f t="shared" si="114"/>
        <v>平成6年9月14日</v>
      </c>
      <c r="I3579" s="39">
        <f t="shared" si="115"/>
        <v>34591</v>
      </c>
      <c r="J3579" s="25" t="str">
        <f>"00744273"</f>
        <v>00744273</v>
      </c>
      <c r="K3579" s="25" t="str">
        <f>"４４６　　　　　　　　　　　　　　　　　"</f>
        <v>４４６　　　　　　　　　　　　　　　　　</v>
      </c>
      <c r="L3579" s="25"/>
    </row>
    <row r="3580" spans="1:12" s="40" customFormat="1" ht="18" customHeight="1" x14ac:dyDescent="0.15">
      <c r="A3580" s="25">
        <v>3911</v>
      </c>
      <c r="B3580" s="25" t="s">
        <v>67</v>
      </c>
      <c r="C3580" s="25" t="s">
        <v>237</v>
      </c>
      <c r="D3580" s="25">
        <v>1</v>
      </c>
      <c r="E3580" s="25" t="s">
        <v>4</v>
      </c>
      <c r="F3580" s="38">
        <v>25410</v>
      </c>
      <c r="G3580" s="38" t="s">
        <v>667</v>
      </c>
      <c r="H3580" s="25" t="str">
        <f t="shared" si="114"/>
        <v>平成6年9月14日</v>
      </c>
      <c r="I3580" s="39">
        <f t="shared" si="115"/>
        <v>34591</v>
      </c>
      <c r="J3580" s="25" t="str">
        <f>"00744275"</f>
        <v>00744275</v>
      </c>
      <c r="K3580" s="25" t="str">
        <f>"４４７　　　　　　　　　　　　　　　　　"</f>
        <v>４４７　　　　　　　　　　　　　　　　　</v>
      </c>
      <c r="L3580" s="25"/>
    </row>
    <row r="3581" spans="1:12" s="40" customFormat="1" ht="18" customHeight="1" x14ac:dyDescent="0.15">
      <c r="A3581" s="25">
        <v>3912</v>
      </c>
      <c r="B3581" s="25" t="s">
        <v>67</v>
      </c>
      <c r="C3581" s="25" t="s">
        <v>237</v>
      </c>
      <c r="D3581" s="25">
        <v>1</v>
      </c>
      <c r="E3581" s="25" t="s">
        <v>4</v>
      </c>
      <c r="F3581" s="38">
        <v>25410</v>
      </c>
      <c r="G3581" s="38" t="s">
        <v>667</v>
      </c>
      <c r="H3581" s="25" t="str">
        <f t="shared" si="114"/>
        <v>平成6年9月14日</v>
      </c>
      <c r="I3581" s="39">
        <f t="shared" si="115"/>
        <v>34591</v>
      </c>
      <c r="J3581" s="25" t="str">
        <f>"00744277"</f>
        <v>00744277</v>
      </c>
      <c r="K3581" s="25" t="str">
        <f>"４４８　　　　　　　　　　　　　　　　　"</f>
        <v>４４８　　　　　　　　　　　　　　　　　</v>
      </c>
      <c r="L3581" s="25"/>
    </row>
    <row r="3582" spans="1:12" s="40" customFormat="1" ht="18" customHeight="1" x14ac:dyDescent="0.15">
      <c r="A3582" s="25">
        <v>3913</v>
      </c>
      <c r="B3582" s="25" t="s">
        <v>67</v>
      </c>
      <c r="C3582" s="25" t="s">
        <v>237</v>
      </c>
      <c r="D3582" s="25">
        <v>1</v>
      </c>
      <c r="E3582" s="25" t="s">
        <v>4</v>
      </c>
      <c r="F3582" s="38">
        <v>25410</v>
      </c>
      <c r="G3582" s="38" t="s">
        <v>667</v>
      </c>
      <c r="H3582" s="25" t="str">
        <f t="shared" si="114"/>
        <v>平成6年9月14日</v>
      </c>
      <c r="I3582" s="39">
        <f t="shared" si="115"/>
        <v>34591</v>
      </c>
      <c r="J3582" s="25" t="str">
        <f>"00744279"</f>
        <v>00744279</v>
      </c>
      <c r="K3582" s="25" t="str">
        <f>"４４９　　　　　　　　　　　　　　　　　"</f>
        <v>４４９　　　　　　　　　　　　　　　　　</v>
      </c>
      <c r="L3582" s="25"/>
    </row>
    <row r="3583" spans="1:12" s="40" customFormat="1" ht="18" customHeight="1" x14ac:dyDescent="0.15">
      <c r="A3583" s="25">
        <v>3914</v>
      </c>
      <c r="B3583" s="25" t="s">
        <v>67</v>
      </c>
      <c r="C3583" s="25" t="s">
        <v>237</v>
      </c>
      <c r="D3583" s="25">
        <v>1</v>
      </c>
      <c r="E3583" s="25" t="s">
        <v>4</v>
      </c>
      <c r="F3583" s="38">
        <v>25410</v>
      </c>
      <c r="G3583" s="38" t="s">
        <v>667</v>
      </c>
      <c r="H3583" s="25" t="str">
        <f t="shared" si="114"/>
        <v>平成6年9月14日</v>
      </c>
      <c r="I3583" s="39">
        <f t="shared" si="115"/>
        <v>34591</v>
      </c>
      <c r="J3583" s="25" t="str">
        <f>"00744281"</f>
        <v>00744281</v>
      </c>
      <c r="K3583" s="25" t="str">
        <f>"４５０　　　　　　　　　　　　　　　　　"</f>
        <v>４５０　　　　　　　　　　　　　　　　　</v>
      </c>
      <c r="L3583" s="25"/>
    </row>
    <row r="3584" spans="1:12" s="40" customFormat="1" ht="18" customHeight="1" x14ac:dyDescent="0.15">
      <c r="A3584" s="25">
        <v>3915</v>
      </c>
      <c r="B3584" s="25" t="s">
        <v>67</v>
      </c>
      <c r="C3584" s="25" t="s">
        <v>237</v>
      </c>
      <c r="D3584" s="25">
        <v>1</v>
      </c>
      <c r="E3584" s="25" t="s">
        <v>4</v>
      </c>
      <c r="F3584" s="38">
        <v>25410</v>
      </c>
      <c r="G3584" s="38" t="s">
        <v>667</v>
      </c>
      <c r="H3584" s="25" t="str">
        <f t="shared" si="114"/>
        <v>平成6年9月14日</v>
      </c>
      <c r="I3584" s="39">
        <f t="shared" si="115"/>
        <v>34591</v>
      </c>
      <c r="J3584" s="25" t="str">
        <f>"00744283"</f>
        <v>00744283</v>
      </c>
      <c r="K3584" s="25" t="str">
        <f>"４５１　　　　　　　　　　　　　　　　　"</f>
        <v>４５１　　　　　　　　　　　　　　　　　</v>
      </c>
      <c r="L3584" s="25"/>
    </row>
    <row r="3585" spans="1:12" s="40" customFormat="1" ht="18" customHeight="1" x14ac:dyDescent="0.15">
      <c r="A3585" s="25">
        <v>3916</v>
      </c>
      <c r="B3585" s="25" t="s">
        <v>67</v>
      </c>
      <c r="C3585" s="25" t="s">
        <v>237</v>
      </c>
      <c r="D3585" s="25">
        <v>1</v>
      </c>
      <c r="E3585" s="25" t="s">
        <v>4</v>
      </c>
      <c r="F3585" s="38">
        <v>25410</v>
      </c>
      <c r="G3585" s="38" t="s">
        <v>667</v>
      </c>
      <c r="H3585" s="25" t="str">
        <f t="shared" si="114"/>
        <v>平成6年9月14日</v>
      </c>
      <c r="I3585" s="39">
        <f t="shared" si="115"/>
        <v>34591</v>
      </c>
      <c r="J3585" s="25" t="str">
        <f>"00744285"</f>
        <v>00744285</v>
      </c>
      <c r="K3585" s="25" t="str">
        <f>"４５２　　　　　　　　　　　　　　　　　"</f>
        <v>４５２　　　　　　　　　　　　　　　　　</v>
      </c>
      <c r="L3585" s="25"/>
    </row>
    <row r="3586" spans="1:12" s="40" customFormat="1" ht="18" customHeight="1" x14ac:dyDescent="0.15">
      <c r="A3586" s="25">
        <v>3917</v>
      </c>
      <c r="B3586" s="25" t="s">
        <v>67</v>
      </c>
      <c r="C3586" s="25" t="s">
        <v>237</v>
      </c>
      <c r="D3586" s="25">
        <v>1</v>
      </c>
      <c r="E3586" s="25" t="s">
        <v>4</v>
      </c>
      <c r="F3586" s="38">
        <v>25410</v>
      </c>
      <c r="G3586" s="38" t="s">
        <v>667</v>
      </c>
      <c r="H3586" s="25" t="str">
        <f t="shared" si="114"/>
        <v>平成6年9月14日</v>
      </c>
      <c r="I3586" s="39">
        <f t="shared" si="115"/>
        <v>34591</v>
      </c>
      <c r="J3586" s="25" t="str">
        <f>"00744287"</f>
        <v>00744287</v>
      </c>
      <c r="K3586" s="25" t="str">
        <f>"４５３　　　　　　　　　　　　　　　　　"</f>
        <v>４５３　　　　　　　　　　　　　　　　　</v>
      </c>
      <c r="L3586" s="25"/>
    </row>
    <row r="3587" spans="1:12" s="40" customFormat="1" ht="18" customHeight="1" x14ac:dyDescent="0.15">
      <c r="A3587" s="25">
        <v>3918</v>
      </c>
      <c r="B3587" s="25" t="s">
        <v>67</v>
      </c>
      <c r="C3587" s="25" t="s">
        <v>237</v>
      </c>
      <c r="D3587" s="25">
        <v>1</v>
      </c>
      <c r="E3587" s="25" t="s">
        <v>4</v>
      </c>
      <c r="F3587" s="38">
        <v>25410</v>
      </c>
      <c r="G3587" s="38" t="s">
        <v>667</v>
      </c>
      <c r="H3587" s="25" t="str">
        <f t="shared" si="114"/>
        <v>平成6年9月14日</v>
      </c>
      <c r="I3587" s="39">
        <f t="shared" si="115"/>
        <v>34591</v>
      </c>
      <c r="J3587" s="25" t="str">
        <f>"00744289"</f>
        <v>00744289</v>
      </c>
      <c r="K3587" s="25" t="str">
        <f>"４５４　　　　　　　　　　　　　　　　　"</f>
        <v>４５４　　　　　　　　　　　　　　　　　</v>
      </c>
      <c r="L3587" s="25"/>
    </row>
    <row r="3588" spans="1:12" s="40" customFormat="1" ht="18" customHeight="1" x14ac:dyDescent="0.15">
      <c r="A3588" s="25">
        <v>3919</v>
      </c>
      <c r="B3588" s="25" t="s">
        <v>67</v>
      </c>
      <c r="C3588" s="25" t="s">
        <v>237</v>
      </c>
      <c r="D3588" s="25">
        <v>1</v>
      </c>
      <c r="E3588" s="25" t="s">
        <v>4</v>
      </c>
      <c r="F3588" s="38">
        <v>25410</v>
      </c>
      <c r="G3588" s="38" t="s">
        <v>667</v>
      </c>
      <c r="H3588" s="25" t="str">
        <f t="shared" si="114"/>
        <v>平成6年9月14日</v>
      </c>
      <c r="I3588" s="39">
        <f t="shared" si="115"/>
        <v>34591</v>
      </c>
      <c r="J3588" s="25" t="str">
        <f>"00744291"</f>
        <v>00744291</v>
      </c>
      <c r="K3588" s="25" t="str">
        <f>"４５５　　　　　　　　　　　　　　　　　"</f>
        <v>４５５　　　　　　　　　　　　　　　　　</v>
      </c>
      <c r="L3588" s="25"/>
    </row>
    <row r="3589" spans="1:12" s="40" customFormat="1" ht="18" customHeight="1" x14ac:dyDescent="0.15">
      <c r="A3589" s="25">
        <v>3920</v>
      </c>
      <c r="B3589" s="25" t="s">
        <v>67</v>
      </c>
      <c r="C3589" s="25" t="s">
        <v>237</v>
      </c>
      <c r="D3589" s="25">
        <v>1</v>
      </c>
      <c r="E3589" s="25" t="s">
        <v>4</v>
      </c>
      <c r="F3589" s="38">
        <v>25410</v>
      </c>
      <c r="G3589" s="38" t="s">
        <v>667</v>
      </c>
      <c r="H3589" s="25" t="str">
        <f t="shared" si="114"/>
        <v>平成6年9月14日</v>
      </c>
      <c r="I3589" s="39">
        <f t="shared" si="115"/>
        <v>34591</v>
      </c>
      <c r="J3589" s="25" t="str">
        <f>"00744293"</f>
        <v>00744293</v>
      </c>
      <c r="K3589" s="25" t="str">
        <f>"４５６　　　　　　　　　　　　　　　　　"</f>
        <v>４５６　　　　　　　　　　　　　　　　　</v>
      </c>
      <c r="L3589" s="25"/>
    </row>
    <row r="3590" spans="1:12" s="40" customFormat="1" ht="18" customHeight="1" x14ac:dyDescent="0.15">
      <c r="A3590" s="25">
        <v>3921</v>
      </c>
      <c r="B3590" s="25" t="s">
        <v>67</v>
      </c>
      <c r="C3590" s="25" t="s">
        <v>237</v>
      </c>
      <c r="D3590" s="25">
        <v>1</v>
      </c>
      <c r="E3590" s="25" t="s">
        <v>4</v>
      </c>
      <c r="F3590" s="38">
        <v>25410</v>
      </c>
      <c r="G3590" s="38" t="s">
        <v>667</v>
      </c>
      <c r="H3590" s="25" t="str">
        <f t="shared" si="114"/>
        <v>平成6年9月14日</v>
      </c>
      <c r="I3590" s="39">
        <f t="shared" si="115"/>
        <v>34591</v>
      </c>
      <c r="J3590" s="25" t="str">
        <f>"00744295"</f>
        <v>00744295</v>
      </c>
      <c r="K3590" s="25" t="str">
        <f>"４５７　　　　　　　　　　　　　　　　　"</f>
        <v>４５７　　　　　　　　　　　　　　　　　</v>
      </c>
      <c r="L3590" s="25"/>
    </row>
    <row r="3591" spans="1:12" s="40" customFormat="1" ht="18" customHeight="1" x14ac:dyDescent="0.15">
      <c r="A3591" s="25">
        <v>3922</v>
      </c>
      <c r="B3591" s="25" t="s">
        <v>67</v>
      </c>
      <c r="C3591" s="25" t="s">
        <v>237</v>
      </c>
      <c r="D3591" s="25">
        <v>1</v>
      </c>
      <c r="E3591" s="25" t="s">
        <v>4</v>
      </c>
      <c r="F3591" s="38">
        <v>25410</v>
      </c>
      <c r="G3591" s="38" t="s">
        <v>667</v>
      </c>
      <c r="H3591" s="25" t="str">
        <f t="shared" si="114"/>
        <v>平成6年9月14日</v>
      </c>
      <c r="I3591" s="39">
        <f t="shared" si="115"/>
        <v>34591</v>
      </c>
      <c r="J3591" s="25" t="str">
        <f>"00744297"</f>
        <v>00744297</v>
      </c>
      <c r="K3591" s="25" t="str">
        <f>"４５８　　　　　　　　　　　　　　　　　"</f>
        <v>４５８　　　　　　　　　　　　　　　　　</v>
      </c>
      <c r="L3591" s="25"/>
    </row>
    <row r="3592" spans="1:12" s="40" customFormat="1" ht="18" customHeight="1" x14ac:dyDescent="0.15">
      <c r="A3592" s="25">
        <v>3923</v>
      </c>
      <c r="B3592" s="25" t="s">
        <v>67</v>
      </c>
      <c r="C3592" s="25" t="s">
        <v>237</v>
      </c>
      <c r="D3592" s="25">
        <v>1</v>
      </c>
      <c r="E3592" s="25" t="s">
        <v>4</v>
      </c>
      <c r="F3592" s="38">
        <v>25410</v>
      </c>
      <c r="G3592" s="38" t="s">
        <v>667</v>
      </c>
      <c r="H3592" s="25" t="str">
        <f t="shared" si="114"/>
        <v>平成6年9月14日</v>
      </c>
      <c r="I3592" s="39">
        <f t="shared" si="115"/>
        <v>34591</v>
      </c>
      <c r="J3592" s="25" t="str">
        <f>"00744299"</f>
        <v>00744299</v>
      </c>
      <c r="K3592" s="25" t="str">
        <f>"４５９　　　　　　　　　　　　　　　　　"</f>
        <v>４５９　　　　　　　　　　　　　　　　　</v>
      </c>
      <c r="L3592" s="25"/>
    </row>
    <row r="3593" spans="1:12" s="40" customFormat="1" ht="18" customHeight="1" x14ac:dyDescent="0.15">
      <c r="A3593" s="25">
        <v>3924</v>
      </c>
      <c r="B3593" s="25" t="s">
        <v>67</v>
      </c>
      <c r="C3593" s="25" t="s">
        <v>237</v>
      </c>
      <c r="D3593" s="25">
        <v>1</v>
      </c>
      <c r="E3593" s="25" t="s">
        <v>4</v>
      </c>
      <c r="F3593" s="38">
        <v>25410</v>
      </c>
      <c r="G3593" s="38" t="s">
        <v>667</v>
      </c>
      <c r="H3593" s="25" t="str">
        <f t="shared" si="114"/>
        <v>平成6年9月14日</v>
      </c>
      <c r="I3593" s="39">
        <f t="shared" si="115"/>
        <v>34591</v>
      </c>
      <c r="J3593" s="25" t="str">
        <f>"00744301"</f>
        <v>00744301</v>
      </c>
      <c r="K3593" s="25" t="str">
        <f>"４６０　　　　　　　　　　　　　　　　　"</f>
        <v>４６０　　　　　　　　　　　　　　　　　</v>
      </c>
      <c r="L3593" s="25"/>
    </row>
    <row r="3594" spans="1:12" s="40" customFormat="1" ht="18" customHeight="1" x14ac:dyDescent="0.15">
      <c r="A3594" s="25">
        <v>3925</v>
      </c>
      <c r="B3594" s="25" t="s">
        <v>67</v>
      </c>
      <c r="C3594" s="25" t="s">
        <v>237</v>
      </c>
      <c r="D3594" s="25">
        <v>1</v>
      </c>
      <c r="E3594" s="25" t="s">
        <v>4</v>
      </c>
      <c r="F3594" s="38">
        <v>25410</v>
      </c>
      <c r="G3594" s="38" t="s">
        <v>667</v>
      </c>
      <c r="H3594" s="25" t="str">
        <f t="shared" si="114"/>
        <v>平成6年9月14日</v>
      </c>
      <c r="I3594" s="39">
        <f t="shared" si="115"/>
        <v>34591</v>
      </c>
      <c r="J3594" s="25" t="str">
        <f>"00744303"</f>
        <v>00744303</v>
      </c>
      <c r="K3594" s="25" t="str">
        <f>"４６１　　　　　　　　　　　　　　　　　"</f>
        <v>４６１　　　　　　　　　　　　　　　　　</v>
      </c>
      <c r="L3594" s="25"/>
    </row>
    <row r="3595" spans="1:12" s="40" customFormat="1" ht="18" customHeight="1" x14ac:dyDescent="0.15">
      <c r="A3595" s="25">
        <v>3926</v>
      </c>
      <c r="B3595" s="25" t="s">
        <v>67</v>
      </c>
      <c r="C3595" s="25" t="s">
        <v>237</v>
      </c>
      <c r="D3595" s="25">
        <v>1</v>
      </c>
      <c r="E3595" s="25" t="s">
        <v>4</v>
      </c>
      <c r="F3595" s="38">
        <v>25410</v>
      </c>
      <c r="G3595" s="38" t="s">
        <v>667</v>
      </c>
      <c r="H3595" s="25" t="str">
        <f t="shared" si="114"/>
        <v>平成6年9月14日</v>
      </c>
      <c r="I3595" s="39">
        <f t="shared" si="115"/>
        <v>34591</v>
      </c>
      <c r="J3595" s="25" t="str">
        <f>"00744305"</f>
        <v>00744305</v>
      </c>
      <c r="K3595" s="25" t="str">
        <f>"４６２　　　　　　　　　　　　　　　　　"</f>
        <v>４６２　　　　　　　　　　　　　　　　　</v>
      </c>
      <c r="L3595" s="25"/>
    </row>
    <row r="3596" spans="1:12" s="40" customFormat="1" ht="18" customHeight="1" x14ac:dyDescent="0.15">
      <c r="A3596" s="25">
        <v>3927</v>
      </c>
      <c r="B3596" s="25" t="s">
        <v>67</v>
      </c>
      <c r="C3596" s="25" t="s">
        <v>237</v>
      </c>
      <c r="D3596" s="25">
        <v>1</v>
      </c>
      <c r="E3596" s="25" t="s">
        <v>4</v>
      </c>
      <c r="F3596" s="38">
        <v>25410</v>
      </c>
      <c r="G3596" s="38" t="s">
        <v>667</v>
      </c>
      <c r="H3596" s="25" t="str">
        <f t="shared" si="114"/>
        <v>平成6年9月14日</v>
      </c>
      <c r="I3596" s="39">
        <f t="shared" si="115"/>
        <v>34591</v>
      </c>
      <c r="J3596" s="25" t="str">
        <f>"00744307"</f>
        <v>00744307</v>
      </c>
      <c r="K3596" s="25" t="str">
        <f>"４６３　　　　　　　　　　　　　　　　　"</f>
        <v>４６３　　　　　　　　　　　　　　　　　</v>
      </c>
      <c r="L3596" s="25"/>
    </row>
    <row r="3597" spans="1:12" s="40" customFormat="1" ht="18" customHeight="1" x14ac:dyDescent="0.15">
      <c r="A3597" s="25">
        <v>3928</v>
      </c>
      <c r="B3597" s="25" t="s">
        <v>67</v>
      </c>
      <c r="C3597" s="25" t="s">
        <v>237</v>
      </c>
      <c r="D3597" s="25">
        <v>1</v>
      </c>
      <c r="E3597" s="25" t="s">
        <v>4</v>
      </c>
      <c r="F3597" s="38">
        <v>25410</v>
      </c>
      <c r="G3597" s="38" t="s">
        <v>667</v>
      </c>
      <c r="H3597" s="25" t="str">
        <f t="shared" si="114"/>
        <v>平成6年9月14日</v>
      </c>
      <c r="I3597" s="39">
        <f t="shared" si="115"/>
        <v>34591</v>
      </c>
      <c r="J3597" s="25" t="str">
        <f>"00744309"</f>
        <v>00744309</v>
      </c>
      <c r="K3597" s="25" t="str">
        <f>"４６４　　　　　　　　　　　　　　　　　"</f>
        <v>４６４　　　　　　　　　　　　　　　　　</v>
      </c>
      <c r="L3597" s="25"/>
    </row>
    <row r="3598" spans="1:12" ht="18" customHeight="1" x14ac:dyDescent="0.15">
      <c r="A3598" s="25">
        <v>3929</v>
      </c>
      <c r="B3598" s="25" t="s">
        <v>67</v>
      </c>
      <c r="C3598" s="25" t="s">
        <v>238</v>
      </c>
      <c r="D3598" s="25">
        <v>1</v>
      </c>
      <c r="E3598" s="25" t="s">
        <v>4</v>
      </c>
      <c r="F3598" s="38">
        <v>45310</v>
      </c>
      <c r="G3598" s="38" t="s">
        <v>667</v>
      </c>
      <c r="H3598" s="25" t="str">
        <f t="shared" si="114"/>
        <v>平成6年9月14日</v>
      </c>
      <c r="I3598" s="22">
        <f t="shared" si="115"/>
        <v>34591</v>
      </c>
      <c r="J3598" s="1" t="str">
        <f>"00744315"</f>
        <v>00744315</v>
      </c>
      <c r="K3598" s="1" t="str">
        <f>"４６７　　　　　　　　　　　　　　　　　"</f>
        <v>４６７　　　　　　　　　　　　　　　　　</v>
      </c>
      <c r="L3598" s="1"/>
    </row>
    <row r="3599" spans="1:12" ht="18" customHeight="1" x14ac:dyDescent="0.15">
      <c r="A3599" s="25">
        <v>3930</v>
      </c>
      <c r="B3599" s="25" t="s">
        <v>67</v>
      </c>
      <c r="C3599" s="25" t="s">
        <v>239</v>
      </c>
      <c r="D3599" s="25">
        <v>1</v>
      </c>
      <c r="E3599" s="25" t="s">
        <v>4</v>
      </c>
      <c r="F3599" s="38">
        <v>33280</v>
      </c>
      <c r="G3599" s="38" t="s">
        <v>667</v>
      </c>
      <c r="H3599" s="25" t="str">
        <f t="shared" ref="H3599:H3662" si="116">"平成6年9月14日"</f>
        <v>平成6年9月14日</v>
      </c>
      <c r="I3599" s="22">
        <f t="shared" si="115"/>
        <v>34591</v>
      </c>
      <c r="J3599" s="1" t="str">
        <f>"00744319"</f>
        <v>00744319</v>
      </c>
      <c r="K3599" s="1" t="str">
        <f>"４６９　　　　　　　　　　　　　　　　　"</f>
        <v>４６９　　　　　　　　　　　　　　　　　</v>
      </c>
      <c r="L3599" s="1"/>
    </row>
    <row r="3600" spans="1:12" ht="18" customHeight="1" x14ac:dyDescent="0.15">
      <c r="A3600" s="25">
        <v>3931</v>
      </c>
      <c r="B3600" s="25" t="s">
        <v>67</v>
      </c>
      <c r="C3600" s="25" t="s">
        <v>239</v>
      </c>
      <c r="D3600" s="25">
        <v>1</v>
      </c>
      <c r="E3600" s="25" t="s">
        <v>4</v>
      </c>
      <c r="F3600" s="38">
        <v>33280</v>
      </c>
      <c r="G3600" s="38" t="s">
        <v>667</v>
      </c>
      <c r="H3600" s="25" t="str">
        <f t="shared" si="116"/>
        <v>平成6年9月14日</v>
      </c>
      <c r="I3600" s="22">
        <f t="shared" si="115"/>
        <v>34591</v>
      </c>
      <c r="J3600" s="1" t="str">
        <f>"00744321"</f>
        <v>00744321</v>
      </c>
      <c r="K3600" s="1" t="str">
        <f>"４７０　　　　　　　　　　　　　　　　　"</f>
        <v>４７０　　　　　　　　　　　　　　　　　</v>
      </c>
      <c r="L3600" s="1"/>
    </row>
    <row r="3601" spans="1:12" ht="18" customHeight="1" x14ac:dyDescent="0.15">
      <c r="A3601" s="25">
        <v>3973</v>
      </c>
      <c r="B3601" s="25" t="s">
        <v>101</v>
      </c>
      <c r="C3601" s="25" t="s">
        <v>253</v>
      </c>
      <c r="D3601" s="25">
        <v>1</v>
      </c>
      <c r="E3601" s="25" t="s">
        <v>4</v>
      </c>
      <c r="F3601" s="38">
        <v>202900</v>
      </c>
      <c r="G3601" s="38" t="s">
        <v>667</v>
      </c>
      <c r="H3601" s="25" t="str">
        <f t="shared" si="116"/>
        <v>平成6年9月14日</v>
      </c>
      <c r="I3601" s="22">
        <f t="shared" si="115"/>
        <v>34591</v>
      </c>
      <c r="J3601" s="1" t="str">
        <f>"00744481"</f>
        <v>00744481</v>
      </c>
      <c r="K3601" s="1" t="str">
        <f>"３５０　　　　　　　　　　　　　　　　　"</f>
        <v>３５０　　　　　　　　　　　　　　　　　</v>
      </c>
      <c r="L3601" s="1"/>
    </row>
    <row r="3602" spans="1:12" ht="18" customHeight="1" x14ac:dyDescent="0.15">
      <c r="A3602" s="25">
        <v>3974</v>
      </c>
      <c r="B3602" s="25" t="s">
        <v>101</v>
      </c>
      <c r="C3602" s="25" t="s">
        <v>254</v>
      </c>
      <c r="D3602" s="25">
        <v>1</v>
      </c>
      <c r="E3602" s="25" t="s">
        <v>4</v>
      </c>
      <c r="F3602" s="38">
        <v>25647</v>
      </c>
      <c r="G3602" s="38" t="s">
        <v>667</v>
      </c>
      <c r="H3602" s="25" t="str">
        <f t="shared" si="116"/>
        <v>平成6年9月14日</v>
      </c>
      <c r="I3602" s="22">
        <f t="shared" ref="I3602:I3665" si="117">DATEVALUE(H3602)</f>
        <v>34591</v>
      </c>
      <c r="J3602" s="1" t="str">
        <f>"00744543"</f>
        <v>00744543</v>
      </c>
      <c r="K3602" s="1" t="str">
        <f>"３８３　　　　　　　　　　　　　　　　　"</f>
        <v>３８３　　　　　　　　　　　　　　　　　</v>
      </c>
      <c r="L3602" s="1"/>
    </row>
    <row r="3603" spans="1:12" ht="18" customHeight="1" x14ac:dyDescent="0.15">
      <c r="A3603" s="25">
        <v>3975</v>
      </c>
      <c r="B3603" s="25" t="s">
        <v>101</v>
      </c>
      <c r="C3603" s="25" t="s">
        <v>254</v>
      </c>
      <c r="D3603" s="25">
        <v>1</v>
      </c>
      <c r="E3603" s="25" t="s">
        <v>4</v>
      </c>
      <c r="F3603" s="38">
        <v>25647</v>
      </c>
      <c r="G3603" s="38" t="s">
        <v>667</v>
      </c>
      <c r="H3603" s="25" t="str">
        <f t="shared" si="116"/>
        <v>平成6年9月14日</v>
      </c>
      <c r="I3603" s="22">
        <f t="shared" si="117"/>
        <v>34591</v>
      </c>
      <c r="J3603" s="1" t="str">
        <f>"00744545"</f>
        <v>00744545</v>
      </c>
      <c r="K3603" s="1" t="str">
        <f>"３８４　　　　　　　　　　　　　　　　　"</f>
        <v>３８４　　　　　　　　　　　　　　　　　</v>
      </c>
      <c r="L3603" s="1"/>
    </row>
    <row r="3604" spans="1:12" ht="18" customHeight="1" x14ac:dyDescent="0.15">
      <c r="A3604" s="25">
        <v>3976</v>
      </c>
      <c r="B3604" s="25" t="s">
        <v>101</v>
      </c>
      <c r="C3604" s="25" t="s">
        <v>255</v>
      </c>
      <c r="D3604" s="25">
        <v>1</v>
      </c>
      <c r="E3604" s="25" t="s">
        <v>4</v>
      </c>
      <c r="F3604" s="38">
        <v>24514</v>
      </c>
      <c r="G3604" s="38" t="s">
        <v>667</v>
      </c>
      <c r="H3604" s="25" t="str">
        <f t="shared" si="116"/>
        <v>平成6年9月14日</v>
      </c>
      <c r="I3604" s="22">
        <f t="shared" si="117"/>
        <v>34591</v>
      </c>
      <c r="J3604" s="1" t="str">
        <f>"00744563"</f>
        <v>00744563</v>
      </c>
      <c r="K3604" s="1" t="str">
        <f>"３９３　　　　　　　　　　　　　　　　　"</f>
        <v>３９３　　　　　　　　　　　　　　　　　</v>
      </c>
      <c r="L3604" s="1"/>
    </row>
    <row r="3605" spans="1:12" ht="18" customHeight="1" x14ac:dyDescent="0.15">
      <c r="A3605" s="25">
        <v>3977</v>
      </c>
      <c r="B3605" s="25" t="s">
        <v>101</v>
      </c>
      <c r="C3605" s="25" t="s">
        <v>255</v>
      </c>
      <c r="D3605" s="25">
        <v>1</v>
      </c>
      <c r="E3605" s="25" t="s">
        <v>4</v>
      </c>
      <c r="F3605" s="38">
        <v>24514</v>
      </c>
      <c r="G3605" s="38" t="s">
        <v>667</v>
      </c>
      <c r="H3605" s="25" t="str">
        <f t="shared" si="116"/>
        <v>平成6年9月14日</v>
      </c>
      <c r="I3605" s="22">
        <f t="shared" si="117"/>
        <v>34591</v>
      </c>
      <c r="J3605" s="1" t="str">
        <f>"00744565"</f>
        <v>00744565</v>
      </c>
      <c r="K3605" s="1" t="str">
        <f>"３９４　　　　　　　　　　　　　　　　　"</f>
        <v>３９４　　　　　　　　　　　　　　　　　</v>
      </c>
      <c r="L3605" s="1"/>
    </row>
    <row r="3606" spans="1:12" ht="18" customHeight="1" x14ac:dyDescent="0.15">
      <c r="A3606" s="25">
        <v>3978</v>
      </c>
      <c r="B3606" s="25" t="s">
        <v>101</v>
      </c>
      <c r="C3606" s="25" t="s">
        <v>256</v>
      </c>
      <c r="D3606" s="25">
        <v>1</v>
      </c>
      <c r="E3606" s="25" t="s">
        <v>4</v>
      </c>
      <c r="F3606" s="38">
        <v>23896</v>
      </c>
      <c r="G3606" s="38" t="s">
        <v>667</v>
      </c>
      <c r="H3606" s="25" t="str">
        <f t="shared" si="116"/>
        <v>平成6年9月14日</v>
      </c>
      <c r="I3606" s="22">
        <f t="shared" si="117"/>
        <v>34591</v>
      </c>
      <c r="J3606" s="1" t="str">
        <f>"00744571"</f>
        <v>00744571</v>
      </c>
      <c r="K3606" s="1" t="str">
        <f>"３９７　　　　　　　　　　　　　　　　　"</f>
        <v>３９７　　　　　　　　　　　　　　　　　</v>
      </c>
      <c r="L3606" s="1"/>
    </row>
    <row r="3607" spans="1:12" ht="18" customHeight="1" x14ac:dyDescent="0.15">
      <c r="A3607" s="25">
        <v>3980</v>
      </c>
      <c r="B3607" s="25" t="s">
        <v>33</v>
      </c>
      <c r="C3607" s="25" t="s">
        <v>258</v>
      </c>
      <c r="D3607" s="25">
        <v>1</v>
      </c>
      <c r="E3607" s="25" t="s">
        <v>4</v>
      </c>
      <c r="F3607" s="38">
        <v>350000</v>
      </c>
      <c r="G3607" s="38" t="s">
        <v>667</v>
      </c>
      <c r="H3607" s="25" t="str">
        <f t="shared" si="116"/>
        <v>平成6年9月14日</v>
      </c>
      <c r="I3607" s="22">
        <f t="shared" si="117"/>
        <v>34591</v>
      </c>
      <c r="J3607" s="1" t="str">
        <f>"00744595"</f>
        <v>00744595</v>
      </c>
      <c r="K3607" s="1" t="str">
        <f>"３０１　　　　　　　　　　　　　　　　　"</f>
        <v>３０１　　　　　　　　　　　　　　　　　</v>
      </c>
      <c r="L3607" s="1"/>
    </row>
    <row r="3608" spans="1:12" ht="18" customHeight="1" x14ac:dyDescent="0.15">
      <c r="A3608" s="25">
        <v>3981</v>
      </c>
      <c r="B3608" s="25" t="s">
        <v>33</v>
      </c>
      <c r="C3608" s="25" t="s">
        <v>258</v>
      </c>
      <c r="D3608" s="25">
        <v>1</v>
      </c>
      <c r="E3608" s="25" t="s">
        <v>4</v>
      </c>
      <c r="F3608" s="38">
        <v>750000</v>
      </c>
      <c r="G3608" s="38" t="s">
        <v>667</v>
      </c>
      <c r="H3608" s="25" t="str">
        <f t="shared" si="116"/>
        <v>平成6年9月14日</v>
      </c>
      <c r="I3608" s="22">
        <f t="shared" si="117"/>
        <v>34591</v>
      </c>
      <c r="J3608" s="1" t="str">
        <f>"00744597"</f>
        <v>00744597</v>
      </c>
      <c r="K3608" s="1" t="str">
        <f>"３０２　　　　　　　　　　　　　　　　　"</f>
        <v>３０２　　　　　　　　　　　　　　　　　</v>
      </c>
      <c r="L3608" s="1"/>
    </row>
    <row r="3609" spans="1:12" ht="18" customHeight="1" x14ac:dyDescent="0.15">
      <c r="A3609" s="25">
        <v>3982</v>
      </c>
      <c r="B3609" s="25" t="s">
        <v>33</v>
      </c>
      <c r="C3609" s="25" t="s">
        <v>258</v>
      </c>
      <c r="D3609" s="25">
        <v>1</v>
      </c>
      <c r="E3609" s="25" t="s">
        <v>4</v>
      </c>
      <c r="F3609" s="38">
        <v>500000</v>
      </c>
      <c r="G3609" s="38" t="s">
        <v>667</v>
      </c>
      <c r="H3609" s="25" t="str">
        <f t="shared" si="116"/>
        <v>平成6年9月14日</v>
      </c>
      <c r="I3609" s="22">
        <f t="shared" si="117"/>
        <v>34591</v>
      </c>
      <c r="J3609" s="1" t="str">
        <f>"00744599"</f>
        <v>00744599</v>
      </c>
      <c r="K3609" s="1" t="str">
        <f>"３０３　　　　　　　　　　　　　　　　　"</f>
        <v>３０３　　　　　　　　　　　　　　　　　</v>
      </c>
      <c r="L3609" s="1"/>
    </row>
    <row r="3610" spans="1:12" ht="18" customHeight="1" x14ac:dyDescent="0.15">
      <c r="A3610" s="25">
        <v>3983</v>
      </c>
      <c r="B3610" s="25" t="s">
        <v>33</v>
      </c>
      <c r="C3610" s="25" t="s">
        <v>258</v>
      </c>
      <c r="D3610" s="25">
        <v>1</v>
      </c>
      <c r="E3610" s="25" t="s">
        <v>4</v>
      </c>
      <c r="F3610" s="38">
        <v>700000</v>
      </c>
      <c r="G3610" s="38" t="s">
        <v>667</v>
      </c>
      <c r="H3610" s="25" t="str">
        <f t="shared" si="116"/>
        <v>平成6年9月14日</v>
      </c>
      <c r="I3610" s="22">
        <f t="shared" si="117"/>
        <v>34591</v>
      </c>
      <c r="J3610" s="1" t="str">
        <f>"00744601"</f>
        <v>00744601</v>
      </c>
      <c r="K3610" s="1" t="str">
        <f>"３０４　　　　　　　　　　　　　　　　　"</f>
        <v>３０４　　　　　　　　　　　　　　　　　</v>
      </c>
      <c r="L3610" s="1"/>
    </row>
    <row r="3611" spans="1:12" ht="18" customHeight="1" x14ac:dyDescent="0.15">
      <c r="A3611" s="25">
        <v>3984</v>
      </c>
      <c r="B3611" s="25" t="s">
        <v>33</v>
      </c>
      <c r="C3611" s="25" t="s">
        <v>258</v>
      </c>
      <c r="D3611" s="25">
        <v>1</v>
      </c>
      <c r="E3611" s="25" t="s">
        <v>4</v>
      </c>
      <c r="F3611" s="38">
        <v>700000</v>
      </c>
      <c r="G3611" s="38" t="s">
        <v>667</v>
      </c>
      <c r="H3611" s="25" t="str">
        <f t="shared" si="116"/>
        <v>平成6年9月14日</v>
      </c>
      <c r="I3611" s="22">
        <f t="shared" si="117"/>
        <v>34591</v>
      </c>
      <c r="J3611" s="1" t="str">
        <f>"00744603"</f>
        <v>00744603</v>
      </c>
      <c r="K3611" s="1" t="str">
        <f>"３０５　　　　　　　　　　　　　　　　　"</f>
        <v>３０５　　　　　　　　　　　　　　　　　</v>
      </c>
      <c r="L3611" s="1"/>
    </row>
    <row r="3612" spans="1:12" ht="18" customHeight="1" x14ac:dyDescent="0.15">
      <c r="A3612" s="25">
        <v>3985</v>
      </c>
      <c r="B3612" s="25" t="s">
        <v>33</v>
      </c>
      <c r="C3612" s="25" t="s">
        <v>258</v>
      </c>
      <c r="D3612" s="25">
        <v>1</v>
      </c>
      <c r="E3612" s="25" t="s">
        <v>4</v>
      </c>
      <c r="F3612" s="38">
        <v>700000</v>
      </c>
      <c r="G3612" s="38" t="s">
        <v>667</v>
      </c>
      <c r="H3612" s="25" t="str">
        <f t="shared" si="116"/>
        <v>平成6年9月14日</v>
      </c>
      <c r="I3612" s="22">
        <f t="shared" si="117"/>
        <v>34591</v>
      </c>
      <c r="J3612" s="1" t="str">
        <f>"00744605"</f>
        <v>00744605</v>
      </c>
      <c r="K3612" s="1" t="str">
        <f>"３０６　　　　　　　　　　　　　　　　　"</f>
        <v>３０６　　　　　　　　　　　　　　　　　</v>
      </c>
      <c r="L3612" s="1"/>
    </row>
    <row r="3613" spans="1:12" ht="18" customHeight="1" x14ac:dyDescent="0.15">
      <c r="A3613" s="25">
        <v>3986</v>
      </c>
      <c r="B3613" s="25" t="s">
        <v>33</v>
      </c>
      <c r="C3613" s="25" t="s">
        <v>258</v>
      </c>
      <c r="D3613" s="25">
        <v>1</v>
      </c>
      <c r="E3613" s="25" t="s">
        <v>4</v>
      </c>
      <c r="F3613" s="38">
        <v>643000</v>
      </c>
      <c r="G3613" s="38" t="s">
        <v>667</v>
      </c>
      <c r="H3613" s="25" t="str">
        <f t="shared" si="116"/>
        <v>平成6年9月14日</v>
      </c>
      <c r="I3613" s="22">
        <f t="shared" si="117"/>
        <v>34591</v>
      </c>
      <c r="J3613" s="1" t="str">
        <f>"00744607"</f>
        <v>00744607</v>
      </c>
      <c r="K3613" s="1" t="str">
        <f>"３０８　　　　　　　　　　　　　　　　　"</f>
        <v>３０８　　　　　　　　　　　　　　　　　</v>
      </c>
      <c r="L3613" s="1"/>
    </row>
    <row r="3614" spans="1:12" ht="18" customHeight="1" x14ac:dyDescent="0.15">
      <c r="A3614" s="25">
        <v>3996</v>
      </c>
      <c r="B3614" s="25" t="s">
        <v>109</v>
      </c>
      <c r="C3614" s="25" t="s">
        <v>264</v>
      </c>
      <c r="D3614" s="25">
        <v>1</v>
      </c>
      <c r="E3614" s="25" t="s">
        <v>4</v>
      </c>
      <c r="F3614" s="38">
        <v>53354</v>
      </c>
      <c r="G3614" s="38" t="s">
        <v>667</v>
      </c>
      <c r="H3614" s="25" t="str">
        <f t="shared" si="116"/>
        <v>平成6年9月14日</v>
      </c>
      <c r="I3614" s="22">
        <f t="shared" si="117"/>
        <v>34591</v>
      </c>
      <c r="J3614" s="1" t="str">
        <f>"00744643"</f>
        <v>00744643</v>
      </c>
      <c r="K3614" s="1" t="str">
        <f>"３１９　　　　　　　　　　　　　　　　　"</f>
        <v>３１９　　　　　　　　　　　　　　　　　</v>
      </c>
      <c r="L3614" s="1"/>
    </row>
    <row r="3615" spans="1:12" ht="18" customHeight="1" x14ac:dyDescent="0.15">
      <c r="A3615" s="25">
        <v>3997</v>
      </c>
      <c r="B3615" s="25" t="s">
        <v>109</v>
      </c>
      <c r="C3615" s="25" t="s">
        <v>265</v>
      </c>
      <c r="D3615" s="25">
        <v>1</v>
      </c>
      <c r="E3615" s="25" t="s">
        <v>4</v>
      </c>
      <c r="F3615" s="38">
        <v>53168</v>
      </c>
      <c r="G3615" s="38" t="s">
        <v>667</v>
      </c>
      <c r="H3615" s="25" t="str">
        <f t="shared" si="116"/>
        <v>平成6年9月14日</v>
      </c>
      <c r="I3615" s="22">
        <f t="shared" si="117"/>
        <v>34591</v>
      </c>
      <c r="J3615" s="1" t="str">
        <f>"00744645"</f>
        <v>00744645</v>
      </c>
      <c r="K3615" s="1" t="str">
        <f>"３２０　　　　　　　　　　　　　　　　　"</f>
        <v>３２０　　　　　　　　　　　　　　　　　</v>
      </c>
      <c r="L3615" s="1"/>
    </row>
    <row r="3616" spans="1:12" ht="18" customHeight="1" x14ac:dyDescent="0.15">
      <c r="A3616" s="25">
        <v>3998</v>
      </c>
      <c r="B3616" s="25" t="s">
        <v>109</v>
      </c>
      <c r="C3616" s="25" t="s">
        <v>265</v>
      </c>
      <c r="D3616" s="25">
        <v>1</v>
      </c>
      <c r="E3616" s="25" t="s">
        <v>4</v>
      </c>
      <c r="F3616" s="38">
        <v>53168</v>
      </c>
      <c r="G3616" s="38" t="s">
        <v>667</v>
      </c>
      <c r="H3616" s="25" t="str">
        <f t="shared" si="116"/>
        <v>平成6年9月14日</v>
      </c>
      <c r="I3616" s="22">
        <f t="shared" si="117"/>
        <v>34591</v>
      </c>
      <c r="J3616" s="1" t="str">
        <f>"00744647"</f>
        <v>00744647</v>
      </c>
      <c r="K3616" s="1" t="str">
        <f>"３２１　　　　　　　　　　　　　　　　　"</f>
        <v>３２１　　　　　　　　　　　　　　　　　</v>
      </c>
      <c r="L3616" s="1"/>
    </row>
    <row r="3617" spans="1:12" ht="18" customHeight="1" x14ac:dyDescent="0.15">
      <c r="A3617" s="25">
        <v>3999</v>
      </c>
      <c r="B3617" s="25" t="s">
        <v>109</v>
      </c>
      <c r="C3617" s="25" t="s">
        <v>266</v>
      </c>
      <c r="D3617" s="25">
        <v>1</v>
      </c>
      <c r="E3617" s="25" t="s">
        <v>4</v>
      </c>
      <c r="F3617" s="38">
        <v>35000</v>
      </c>
      <c r="G3617" s="38" t="s">
        <v>667</v>
      </c>
      <c r="H3617" s="25" t="str">
        <f t="shared" si="116"/>
        <v>平成6年9月14日</v>
      </c>
      <c r="I3617" s="22">
        <f t="shared" si="117"/>
        <v>34591</v>
      </c>
      <c r="J3617" s="1" t="str">
        <f>"00744649"</f>
        <v>00744649</v>
      </c>
      <c r="K3617" s="1" t="str">
        <f>"３２２　　　　　　　　　　　　　　　　　"</f>
        <v>３２２　　　　　　　　　　　　　　　　　</v>
      </c>
      <c r="L3617" s="1"/>
    </row>
    <row r="3618" spans="1:12" ht="18" customHeight="1" x14ac:dyDescent="0.15">
      <c r="A3618" s="25">
        <v>4000</v>
      </c>
      <c r="B3618" s="25" t="s">
        <v>109</v>
      </c>
      <c r="C3618" s="25" t="s">
        <v>266</v>
      </c>
      <c r="D3618" s="25">
        <v>1</v>
      </c>
      <c r="E3618" s="25" t="s">
        <v>4</v>
      </c>
      <c r="F3618" s="38">
        <v>35000</v>
      </c>
      <c r="G3618" s="38" t="s">
        <v>667</v>
      </c>
      <c r="H3618" s="25" t="str">
        <f t="shared" si="116"/>
        <v>平成6年9月14日</v>
      </c>
      <c r="I3618" s="22">
        <f t="shared" si="117"/>
        <v>34591</v>
      </c>
      <c r="J3618" s="1" t="str">
        <f>"00744651"</f>
        <v>00744651</v>
      </c>
      <c r="K3618" s="1" t="str">
        <f>"３２３　　　　　　　　　　　　　　　　　"</f>
        <v>３２３　　　　　　　　　　　　　　　　　</v>
      </c>
      <c r="L3618" s="1"/>
    </row>
    <row r="3619" spans="1:12" ht="18" customHeight="1" x14ac:dyDescent="0.15">
      <c r="A3619" s="25">
        <v>4011</v>
      </c>
      <c r="B3619" s="25" t="s">
        <v>269</v>
      </c>
      <c r="C3619" s="25" t="s">
        <v>270</v>
      </c>
      <c r="D3619" s="25">
        <v>1</v>
      </c>
      <c r="E3619" s="25" t="s">
        <v>4</v>
      </c>
      <c r="F3619" s="38">
        <v>33887</v>
      </c>
      <c r="G3619" s="38" t="s">
        <v>667</v>
      </c>
      <c r="H3619" s="25" t="str">
        <f t="shared" si="116"/>
        <v>平成6年9月14日</v>
      </c>
      <c r="I3619" s="22">
        <f t="shared" si="117"/>
        <v>34591</v>
      </c>
      <c r="J3619" s="1" t="str">
        <f>"00744675"</f>
        <v>00744675</v>
      </c>
      <c r="K3619" s="1" t="str">
        <f>"３０１　　　　　　　　　　　　　　　　　"</f>
        <v>３０１　　　　　　　　　　　　　　　　　</v>
      </c>
      <c r="L3619" s="1"/>
    </row>
    <row r="3620" spans="1:12" ht="18" customHeight="1" x14ac:dyDescent="0.15">
      <c r="A3620" s="25">
        <v>4012</v>
      </c>
      <c r="B3620" s="25" t="s">
        <v>269</v>
      </c>
      <c r="C3620" s="25" t="s">
        <v>271</v>
      </c>
      <c r="D3620" s="25">
        <v>1</v>
      </c>
      <c r="E3620" s="25" t="s">
        <v>4</v>
      </c>
      <c r="F3620" s="38">
        <v>36050</v>
      </c>
      <c r="G3620" s="38" t="s">
        <v>667</v>
      </c>
      <c r="H3620" s="25" t="str">
        <f t="shared" si="116"/>
        <v>平成6年9月14日</v>
      </c>
      <c r="I3620" s="22">
        <f t="shared" si="117"/>
        <v>34591</v>
      </c>
      <c r="J3620" s="1" t="str">
        <f>"00744677"</f>
        <v>00744677</v>
      </c>
      <c r="K3620" s="1" t="str">
        <f>"３０２　　　　　　　　　　　　　　　　　"</f>
        <v>３０２　　　　　　　　　　　　　　　　　</v>
      </c>
      <c r="L3620" s="1"/>
    </row>
    <row r="3621" spans="1:12" ht="18" customHeight="1" x14ac:dyDescent="0.15">
      <c r="A3621" s="25">
        <v>4039</v>
      </c>
      <c r="B3621" s="25" t="s">
        <v>57</v>
      </c>
      <c r="C3621" s="25" t="s">
        <v>279</v>
      </c>
      <c r="D3621" s="25">
        <v>1</v>
      </c>
      <c r="E3621" s="25" t="s">
        <v>4</v>
      </c>
      <c r="F3621" s="38">
        <v>57165</v>
      </c>
      <c r="G3621" s="38" t="s">
        <v>667</v>
      </c>
      <c r="H3621" s="25" t="str">
        <f t="shared" si="116"/>
        <v>平成6年9月14日</v>
      </c>
      <c r="I3621" s="22">
        <f t="shared" si="117"/>
        <v>34591</v>
      </c>
      <c r="J3621" s="1" t="str">
        <f>"00744740"</f>
        <v>00744740</v>
      </c>
      <c r="K3621" s="1" t="str">
        <f>"３１３　　　　　　　　　　　　　　　　　"</f>
        <v>３１３　　　　　　　　　　　　　　　　　</v>
      </c>
      <c r="L3621" s="1"/>
    </row>
    <row r="3622" spans="1:12" ht="18" customHeight="1" x14ac:dyDescent="0.15">
      <c r="A3622" s="25">
        <v>4040</v>
      </c>
      <c r="B3622" s="25" t="s">
        <v>57</v>
      </c>
      <c r="C3622" s="25" t="s">
        <v>279</v>
      </c>
      <c r="D3622" s="25">
        <v>1</v>
      </c>
      <c r="E3622" s="25" t="s">
        <v>4</v>
      </c>
      <c r="F3622" s="38">
        <v>57165</v>
      </c>
      <c r="G3622" s="38" t="s">
        <v>667</v>
      </c>
      <c r="H3622" s="25" t="str">
        <f t="shared" si="116"/>
        <v>平成6年9月14日</v>
      </c>
      <c r="I3622" s="22">
        <f t="shared" si="117"/>
        <v>34591</v>
      </c>
      <c r="J3622" s="1" t="str">
        <f>"00744742"</f>
        <v>00744742</v>
      </c>
      <c r="K3622" s="1" t="str">
        <f>"３１４　　　　　　　　　　　　　　　　　"</f>
        <v>３１４　　　　　　　　　　　　　　　　　</v>
      </c>
      <c r="L3622" s="1"/>
    </row>
    <row r="3623" spans="1:12" ht="18" customHeight="1" x14ac:dyDescent="0.15">
      <c r="A3623" s="25">
        <v>4041</v>
      </c>
      <c r="B3623" s="25" t="s">
        <v>57</v>
      </c>
      <c r="C3623" s="25" t="s">
        <v>279</v>
      </c>
      <c r="D3623" s="25">
        <v>1</v>
      </c>
      <c r="E3623" s="25" t="s">
        <v>4</v>
      </c>
      <c r="F3623" s="38">
        <v>57165</v>
      </c>
      <c r="G3623" s="38" t="s">
        <v>667</v>
      </c>
      <c r="H3623" s="25" t="str">
        <f t="shared" si="116"/>
        <v>平成6年9月14日</v>
      </c>
      <c r="I3623" s="22">
        <f t="shared" si="117"/>
        <v>34591</v>
      </c>
      <c r="J3623" s="1" t="str">
        <f>"00744744"</f>
        <v>00744744</v>
      </c>
      <c r="K3623" s="1" t="str">
        <f>"３１５　　　　　　　　　　　　　　　　　"</f>
        <v>３１５　　　　　　　　　　　　　　　　　</v>
      </c>
      <c r="L3623" s="1"/>
    </row>
    <row r="3624" spans="1:12" ht="18" customHeight="1" x14ac:dyDescent="0.15">
      <c r="A3624" s="25">
        <v>4042</v>
      </c>
      <c r="B3624" s="25" t="s">
        <v>57</v>
      </c>
      <c r="C3624" s="25" t="s">
        <v>280</v>
      </c>
      <c r="D3624" s="25">
        <v>1</v>
      </c>
      <c r="E3624" s="25" t="s">
        <v>4</v>
      </c>
      <c r="F3624" s="38">
        <v>31106</v>
      </c>
      <c r="G3624" s="38" t="s">
        <v>667</v>
      </c>
      <c r="H3624" s="25" t="str">
        <f t="shared" si="116"/>
        <v>平成6年9月14日</v>
      </c>
      <c r="I3624" s="22">
        <f t="shared" si="117"/>
        <v>34591</v>
      </c>
      <c r="J3624" s="1" t="str">
        <f>"00744746"</f>
        <v>00744746</v>
      </c>
      <c r="K3624" s="1" t="str">
        <f>"３１６　　　　　　　　　　　　　　　　　"</f>
        <v>３１６　　　　　　　　　　　　　　　　　</v>
      </c>
      <c r="L3624" s="1"/>
    </row>
    <row r="3625" spans="1:12" ht="18" customHeight="1" x14ac:dyDescent="0.15">
      <c r="A3625" s="25">
        <v>4043</v>
      </c>
      <c r="B3625" s="25" t="s">
        <v>57</v>
      </c>
      <c r="C3625" s="25" t="s">
        <v>280</v>
      </c>
      <c r="D3625" s="25">
        <v>1</v>
      </c>
      <c r="E3625" s="25" t="s">
        <v>4</v>
      </c>
      <c r="F3625" s="38">
        <v>31106</v>
      </c>
      <c r="G3625" s="38" t="s">
        <v>667</v>
      </c>
      <c r="H3625" s="25" t="str">
        <f t="shared" si="116"/>
        <v>平成6年9月14日</v>
      </c>
      <c r="I3625" s="22">
        <f t="shared" si="117"/>
        <v>34591</v>
      </c>
      <c r="J3625" s="1" t="str">
        <f>"00744748"</f>
        <v>00744748</v>
      </c>
      <c r="K3625" s="1" t="str">
        <f>"３１７　　　　　　　　　　　　　　　　　"</f>
        <v>３１７　　　　　　　　　　　　　　　　　</v>
      </c>
      <c r="L3625" s="1"/>
    </row>
    <row r="3626" spans="1:12" ht="18" customHeight="1" x14ac:dyDescent="0.15">
      <c r="A3626" s="25">
        <v>4044</v>
      </c>
      <c r="B3626" s="25" t="s">
        <v>57</v>
      </c>
      <c r="C3626" s="25" t="s">
        <v>280</v>
      </c>
      <c r="D3626" s="25">
        <v>1</v>
      </c>
      <c r="E3626" s="25" t="s">
        <v>4</v>
      </c>
      <c r="F3626" s="38">
        <v>31106</v>
      </c>
      <c r="G3626" s="38" t="s">
        <v>667</v>
      </c>
      <c r="H3626" s="25" t="str">
        <f t="shared" si="116"/>
        <v>平成6年9月14日</v>
      </c>
      <c r="I3626" s="22">
        <f t="shared" si="117"/>
        <v>34591</v>
      </c>
      <c r="J3626" s="1" t="str">
        <f>"00744750"</f>
        <v>00744750</v>
      </c>
      <c r="K3626" s="1" t="str">
        <f>"３１８　　　　　　　　　　　　　　　　　"</f>
        <v>３１８　　　　　　　　　　　　　　　　　</v>
      </c>
      <c r="L3626" s="1"/>
    </row>
    <row r="3627" spans="1:12" ht="18" customHeight="1" x14ac:dyDescent="0.15">
      <c r="A3627" s="25">
        <v>4049</v>
      </c>
      <c r="B3627" s="25" t="s">
        <v>76</v>
      </c>
      <c r="C3627" s="25" t="s">
        <v>284</v>
      </c>
      <c r="D3627" s="25">
        <v>1</v>
      </c>
      <c r="E3627" s="25" t="s">
        <v>4</v>
      </c>
      <c r="F3627" s="38">
        <v>22248</v>
      </c>
      <c r="G3627" s="38" t="s">
        <v>667</v>
      </c>
      <c r="H3627" s="25" t="str">
        <f t="shared" si="116"/>
        <v>平成6年9月14日</v>
      </c>
      <c r="I3627" s="22">
        <f t="shared" si="117"/>
        <v>34591</v>
      </c>
      <c r="J3627" s="1" t="str">
        <f>"00744760"</f>
        <v>00744760</v>
      </c>
      <c r="K3627" s="1" t="str">
        <f>"３０２　　　　　　　　　　　　　　　　　"</f>
        <v>３０２　　　　　　　　　　　　　　　　　</v>
      </c>
      <c r="L3627" s="1"/>
    </row>
    <row r="3628" spans="1:12" ht="18" customHeight="1" x14ac:dyDescent="0.15">
      <c r="A3628" s="25">
        <v>4050</v>
      </c>
      <c r="B3628" s="25" t="s">
        <v>76</v>
      </c>
      <c r="C3628" s="25" t="s">
        <v>284</v>
      </c>
      <c r="D3628" s="25">
        <v>1</v>
      </c>
      <c r="E3628" s="25" t="s">
        <v>4</v>
      </c>
      <c r="F3628" s="38">
        <v>22248</v>
      </c>
      <c r="G3628" s="38" t="s">
        <v>667</v>
      </c>
      <c r="H3628" s="25" t="str">
        <f t="shared" si="116"/>
        <v>平成6年9月14日</v>
      </c>
      <c r="I3628" s="22">
        <f t="shared" si="117"/>
        <v>34591</v>
      </c>
      <c r="J3628" s="1" t="str">
        <f>"00744763"</f>
        <v>00744763</v>
      </c>
      <c r="K3628" s="1" t="str">
        <f>"３０３　　　　　　　　　　　　　　　　　"</f>
        <v>３０３　　　　　　　　　　　　　　　　　</v>
      </c>
      <c r="L3628" s="1"/>
    </row>
    <row r="3629" spans="1:12" ht="18" customHeight="1" x14ac:dyDescent="0.15">
      <c r="A3629" s="25">
        <v>4051</v>
      </c>
      <c r="B3629" s="25" t="s">
        <v>76</v>
      </c>
      <c r="C3629" s="25" t="s">
        <v>285</v>
      </c>
      <c r="D3629" s="25">
        <v>1</v>
      </c>
      <c r="E3629" s="25" t="s">
        <v>4</v>
      </c>
      <c r="F3629" s="38">
        <v>32239</v>
      </c>
      <c r="G3629" s="38" t="s">
        <v>667</v>
      </c>
      <c r="H3629" s="25" t="str">
        <f t="shared" si="116"/>
        <v>平成6年9月14日</v>
      </c>
      <c r="I3629" s="22">
        <f t="shared" si="117"/>
        <v>34591</v>
      </c>
      <c r="J3629" s="1" t="str">
        <f>"00744765"</f>
        <v>00744765</v>
      </c>
      <c r="K3629" s="1" t="str">
        <f>"３０４　　　　　　　　　　　　　　　　　"</f>
        <v>３０４　　　　　　　　　　　　　　　　　</v>
      </c>
      <c r="L3629" s="1"/>
    </row>
    <row r="3630" spans="1:12" ht="18" customHeight="1" x14ac:dyDescent="0.15">
      <c r="A3630" s="25">
        <v>4052</v>
      </c>
      <c r="B3630" s="25" t="s">
        <v>76</v>
      </c>
      <c r="C3630" s="25" t="s">
        <v>285</v>
      </c>
      <c r="D3630" s="25">
        <v>1</v>
      </c>
      <c r="E3630" s="25" t="s">
        <v>4</v>
      </c>
      <c r="F3630" s="38">
        <v>32239</v>
      </c>
      <c r="G3630" s="38" t="s">
        <v>667</v>
      </c>
      <c r="H3630" s="25" t="str">
        <f t="shared" si="116"/>
        <v>平成6年9月14日</v>
      </c>
      <c r="I3630" s="22">
        <f t="shared" si="117"/>
        <v>34591</v>
      </c>
      <c r="J3630" s="1" t="str">
        <f>"00744767"</f>
        <v>00744767</v>
      </c>
      <c r="K3630" s="1" t="str">
        <f>"３０５　　　　　　　　　　　　　　　　　"</f>
        <v>３０５　　　　　　　　　　　　　　　　　</v>
      </c>
      <c r="L3630" s="1"/>
    </row>
    <row r="3631" spans="1:12" ht="18" customHeight="1" x14ac:dyDescent="0.15">
      <c r="A3631" s="25">
        <v>4053</v>
      </c>
      <c r="B3631" s="25" t="s">
        <v>76</v>
      </c>
      <c r="C3631" s="25" t="s">
        <v>286</v>
      </c>
      <c r="D3631" s="25">
        <v>1</v>
      </c>
      <c r="E3631" s="25" t="s">
        <v>4</v>
      </c>
      <c r="F3631" s="38">
        <v>50470</v>
      </c>
      <c r="G3631" s="38" t="s">
        <v>667</v>
      </c>
      <c r="H3631" s="25" t="str">
        <f t="shared" si="116"/>
        <v>平成6年9月14日</v>
      </c>
      <c r="I3631" s="22">
        <f t="shared" si="117"/>
        <v>34591</v>
      </c>
      <c r="J3631" s="1" t="str">
        <f>"00744769"</f>
        <v>00744769</v>
      </c>
      <c r="K3631" s="1" t="str">
        <f>"３０６　　　　　　　　　　　　　　　　　"</f>
        <v>３０６　　　　　　　　　　　　　　　　　</v>
      </c>
      <c r="L3631" s="1"/>
    </row>
    <row r="3632" spans="1:12" ht="18" customHeight="1" x14ac:dyDescent="0.15">
      <c r="A3632" s="25">
        <v>4057</v>
      </c>
      <c r="B3632" s="25" t="s">
        <v>113</v>
      </c>
      <c r="C3632" s="25" t="s">
        <v>288</v>
      </c>
      <c r="D3632" s="25">
        <v>1</v>
      </c>
      <c r="E3632" s="25" t="s">
        <v>4</v>
      </c>
      <c r="F3632" s="38">
        <v>74160</v>
      </c>
      <c r="G3632" s="38" t="s">
        <v>667</v>
      </c>
      <c r="H3632" s="25" t="str">
        <f t="shared" si="116"/>
        <v>平成6年9月14日</v>
      </c>
      <c r="I3632" s="22">
        <f t="shared" si="117"/>
        <v>34591</v>
      </c>
      <c r="J3632" s="1" t="str">
        <f>"00744793"</f>
        <v>00744793</v>
      </c>
      <c r="K3632" s="1" t="str">
        <f>"３１３　　　　　　　　　　　　　　　　　"</f>
        <v>３１３　　　　　　　　　　　　　　　　　</v>
      </c>
      <c r="L3632" s="1"/>
    </row>
    <row r="3633" spans="1:12" ht="18" customHeight="1" x14ac:dyDescent="0.15">
      <c r="A3633" s="25">
        <v>4058</v>
      </c>
      <c r="B3633" s="25" t="s">
        <v>113</v>
      </c>
      <c r="C3633" s="25" t="s">
        <v>288</v>
      </c>
      <c r="D3633" s="25">
        <v>1</v>
      </c>
      <c r="E3633" s="25" t="s">
        <v>4</v>
      </c>
      <c r="F3633" s="38">
        <v>74160</v>
      </c>
      <c r="G3633" s="38" t="s">
        <v>667</v>
      </c>
      <c r="H3633" s="25" t="str">
        <f t="shared" si="116"/>
        <v>平成6年9月14日</v>
      </c>
      <c r="I3633" s="22">
        <f t="shared" si="117"/>
        <v>34591</v>
      </c>
      <c r="J3633" s="1" t="str">
        <f>"00744795"</f>
        <v>00744795</v>
      </c>
      <c r="K3633" s="1" t="str">
        <f>"３１４　　　　　　　　　　　　　　　　　"</f>
        <v>３１４　　　　　　　　　　　　　　　　　</v>
      </c>
      <c r="L3633" s="1"/>
    </row>
    <row r="3634" spans="1:12" ht="18" customHeight="1" x14ac:dyDescent="0.15">
      <c r="A3634" s="25">
        <v>4069</v>
      </c>
      <c r="B3634" s="25" t="s">
        <v>294</v>
      </c>
      <c r="C3634" s="25" t="s">
        <v>295</v>
      </c>
      <c r="D3634" s="25">
        <v>1</v>
      </c>
      <c r="E3634" s="25" t="s">
        <v>4</v>
      </c>
      <c r="F3634" s="38">
        <v>57783</v>
      </c>
      <c r="G3634" s="38" t="s">
        <v>667</v>
      </c>
      <c r="H3634" s="25" t="str">
        <f t="shared" si="116"/>
        <v>平成6年9月14日</v>
      </c>
      <c r="I3634" s="22">
        <f t="shared" si="117"/>
        <v>34591</v>
      </c>
      <c r="J3634" s="1" t="str">
        <f>"00744819"</f>
        <v>00744819</v>
      </c>
      <c r="K3634" s="1" t="str">
        <f>"３０２　　　　　　　　　　　　　　　　　"</f>
        <v>３０２　　　　　　　　　　　　　　　　　</v>
      </c>
      <c r="L3634" s="1"/>
    </row>
    <row r="3635" spans="1:12" ht="18" customHeight="1" x14ac:dyDescent="0.15">
      <c r="A3635" s="25">
        <v>4070</v>
      </c>
      <c r="B3635" s="25" t="s">
        <v>294</v>
      </c>
      <c r="C3635" s="25" t="s">
        <v>295</v>
      </c>
      <c r="D3635" s="25">
        <v>1</v>
      </c>
      <c r="E3635" s="25" t="s">
        <v>4</v>
      </c>
      <c r="F3635" s="38">
        <v>57783</v>
      </c>
      <c r="G3635" s="38" t="s">
        <v>667</v>
      </c>
      <c r="H3635" s="25" t="str">
        <f t="shared" si="116"/>
        <v>平成6年9月14日</v>
      </c>
      <c r="I3635" s="22">
        <f t="shared" si="117"/>
        <v>34591</v>
      </c>
      <c r="J3635" s="1" t="str">
        <f>"00744821"</f>
        <v>00744821</v>
      </c>
      <c r="K3635" s="1" t="str">
        <f>"３０３　　　　　　　　　　　　　　　　　"</f>
        <v>３０３　　　　　　　　　　　　　　　　　</v>
      </c>
      <c r="L3635" s="1"/>
    </row>
    <row r="3636" spans="1:12" ht="18" customHeight="1" x14ac:dyDescent="0.15">
      <c r="A3636" s="25">
        <v>4071</v>
      </c>
      <c r="B3636" s="25" t="s">
        <v>294</v>
      </c>
      <c r="C3636" s="25" t="s">
        <v>295</v>
      </c>
      <c r="D3636" s="25">
        <v>1</v>
      </c>
      <c r="E3636" s="25" t="s">
        <v>4</v>
      </c>
      <c r="F3636" s="38">
        <v>57783</v>
      </c>
      <c r="G3636" s="38" t="s">
        <v>667</v>
      </c>
      <c r="H3636" s="25" t="str">
        <f t="shared" si="116"/>
        <v>平成6年9月14日</v>
      </c>
      <c r="I3636" s="22">
        <f t="shared" si="117"/>
        <v>34591</v>
      </c>
      <c r="J3636" s="1" t="str">
        <f>"00744823"</f>
        <v>00744823</v>
      </c>
      <c r="K3636" s="1" t="str">
        <f>"３０４　　　　　　　　　　　　　　　　　"</f>
        <v>３０４　　　　　　　　　　　　　　　　　</v>
      </c>
      <c r="L3636" s="1"/>
    </row>
    <row r="3637" spans="1:12" ht="18" customHeight="1" x14ac:dyDescent="0.15">
      <c r="A3637" s="25">
        <v>4072</v>
      </c>
      <c r="B3637" s="25" t="s">
        <v>294</v>
      </c>
      <c r="C3637" s="25" t="s">
        <v>295</v>
      </c>
      <c r="D3637" s="25">
        <v>1</v>
      </c>
      <c r="E3637" s="25" t="s">
        <v>4</v>
      </c>
      <c r="F3637" s="38">
        <v>57783</v>
      </c>
      <c r="G3637" s="38" t="s">
        <v>667</v>
      </c>
      <c r="H3637" s="25" t="str">
        <f t="shared" si="116"/>
        <v>平成6年9月14日</v>
      </c>
      <c r="I3637" s="22">
        <f t="shared" si="117"/>
        <v>34591</v>
      </c>
      <c r="J3637" s="1" t="str">
        <f>"00744825"</f>
        <v>00744825</v>
      </c>
      <c r="K3637" s="1" t="str">
        <f>"３０５　　　　　　　　　　　　　　　　　"</f>
        <v>３０５　　　　　　　　　　　　　　　　　</v>
      </c>
      <c r="L3637" s="1"/>
    </row>
    <row r="3638" spans="1:12" ht="18" customHeight="1" x14ac:dyDescent="0.15">
      <c r="A3638" s="25">
        <v>4073</v>
      </c>
      <c r="B3638" s="25" t="s">
        <v>294</v>
      </c>
      <c r="C3638" s="25" t="s">
        <v>295</v>
      </c>
      <c r="D3638" s="25">
        <v>1</v>
      </c>
      <c r="E3638" s="25" t="s">
        <v>4</v>
      </c>
      <c r="F3638" s="38">
        <v>57783</v>
      </c>
      <c r="G3638" s="38" t="s">
        <v>667</v>
      </c>
      <c r="H3638" s="25" t="str">
        <f t="shared" si="116"/>
        <v>平成6年9月14日</v>
      </c>
      <c r="I3638" s="22">
        <f t="shared" si="117"/>
        <v>34591</v>
      </c>
      <c r="J3638" s="1" t="str">
        <f>"00744827"</f>
        <v>00744827</v>
      </c>
      <c r="K3638" s="1" t="str">
        <f>"３０６　　　　　　　　　　　　　　　　　"</f>
        <v>３０６　　　　　　　　　　　　　　　　　</v>
      </c>
      <c r="L3638" s="1"/>
    </row>
    <row r="3639" spans="1:12" ht="18" customHeight="1" x14ac:dyDescent="0.15">
      <c r="A3639" s="25">
        <v>4154</v>
      </c>
      <c r="B3639" s="25" t="s">
        <v>58</v>
      </c>
      <c r="C3639" s="25" t="s">
        <v>300</v>
      </c>
      <c r="D3639" s="25">
        <v>1</v>
      </c>
      <c r="E3639" s="25" t="s">
        <v>17</v>
      </c>
      <c r="F3639" s="38">
        <v>27380</v>
      </c>
      <c r="G3639" s="38" t="s">
        <v>667</v>
      </c>
      <c r="H3639" s="25" t="str">
        <f t="shared" si="116"/>
        <v>平成6年9月14日</v>
      </c>
      <c r="I3639" s="22">
        <f t="shared" si="117"/>
        <v>34591</v>
      </c>
      <c r="J3639" s="1" t="str">
        <f>"00745101"</f>
        <v>00745101</v>
      </c>
      <c r="K3639" s="1" t="str">
        <f>"３４７　　　　　　　　　　　　　　　　　"</f>
        <v>３４７　　　　　　　　　　　　　　　　　</v>
      </c>
      <c r="L3639" s="1"/>
    </row>
    <row r="3640" spans="1:12" ht="18" customHeight="1" x14ac:dyDescent="0.15">
      <c r="A3640" s="25">
        <v>4155</v>
      </c>
      <c r="B3640" s="25" t="s">
        <v>58</v>
      </c>
      <c r="C3640" s="25" t="s">
        <v>300</v>
      </c>
      <c r="D3640" s="25">
        <v>1</v>
      </c>
      <c r="E3640" s="25" t="s">
        <v>17</v>
      </c>
      <c r="F3640" s="38">
        <v>27380</v>
      </c>
      <c r="G3640" s="38" t="s">
        <v>667</v>
      </c>
      <c r="H3640" s="25" t="str">
        <f t="shared" si="116"/>
        <v>平成6年9月14日</v>
      </c>
      <c r="I3640" s="22">
        <f t="shared" si="117"/>
        <v>34591</v>
      </c>
      <c r="J3640" s="1" t="str">
        <f>"00745103"</f>
        <v>00745103</v>
      </c>
      <c r="K3640" s="1" t="str">
        <f>"３４８　　　　　　　　　　　　　　　　　"</f>
        <v>３４８　　　　　　　　　　　　　　　　　</v>
      </c>
      <c r="L3640" s="1"/>
    </row>
    <row r="3641" spans="1:12" ht="18" customHeight="1" x14ac:dyDescent="0.15">
      <c r="A3641" s="25">
        <v>4156</v>
      </c>
      <c r="B3641" s="25" t="s">
        <v>58</v>
      </c>
      <c r="C3641" s="25" t="s">
        <v>300</v>
      </c>
      <c r="D3641" s="25">
        <v>1</v>
      </c>
      <c r="E3641" s="25" t="s">
        <v>17</v>
      </c>
      <c r="F3641" s="38">
        <v>27380</v>
      </c>
      <c r="G3641" s="38" t="s">
        <v>667</v>
      </c>
      <c r="H3641" s="25" t="str">
        <f t="shared" si="116"/>
        <v>平成6年9月14日</v>
      </c>
      <c r="I3641" s="22">
        <f t="shared" si="117"/>
        <v>34591</v>
      </c>
      <c r="J3641" s="1" t="str">
        <f>"00745105"</f>
        <v>00745105</v>
      </c>
      <c r="K3641" s="1" t="str">
        <f>"３４９　　　　　　　　　　　　　　　　　"</f>
        <v>３４９　　　　　　　　　　　　　　　　　</v>
      </c>
      <c r="L3641" s="1"/>
    </row>
    <row r="3642" spans="1:12" ht="18" customHeight="1" x14ac:dyDescent="0.15">
      <c r="A3642" s="25">
        <v>4157</v>
      </c>
      <c r="B3642" s="25" t="s">
        <v>58</v>
      </c>
      <c r="C3642" s="25" t="s">
        <v>300</v>
      </c>
      <c r="D3642" s="25">
        <v>1</v>
      </c>
      <c r="E3642" s="25" t="s">
        <v>17</v>
      </c>
      <c r="F3642" s="38">
        <v>27380</v>
      </c>
      <c r="G3642" s="38" t="s">
        <v>667</v>
      </c>
      <c r="H3642" s="25" t="str">
        <f t="shared" si="116"/>
        <v>平成6年9月14日</v>
      </c>
      <c r="I3642" s="22">
        <f t="shared" si="117"/>
        <v>34591</v>
      </c>
      <c r="J3642" s="1" t="str">
        <f>"00745107"</f>
        <v>00745107</v>
      </c>
      <c r="K3642" s="1" t="str">
        <f>"３５１　　　　　　　　　　　　　　　　　"</f>
        <v>３５１　　　　　　　　　　　　　　　　　</v>
      </c>
      <c r="L3642" s="1"/>
    </row>
    <row r="3643" spans="1:12" ht="18" customHeight="1" x14ac:dyDescent="0.15">
      <c r="A3643" s="25">
        <v>4158</v>
      </c>
      <c r="B3643" s="25" t="s">
        <v>58</v>
      </c>
      <c r="C3643" s="25" t="s">
        <v>300</v>
      </c>
      <c r="D3643" s="25">
        <v>1</v>
      </c>
      <c r="E3643" s="25" t="s">
        <v>17</v>
      </c>
      <c r="F3643" s="38">
        <v>27380</v>
      </c>
      <c r="G3643" s="38" t="s">
        <v>667</v>
      </c>
      <c r="H3643" s="25" t="str">
        <f t="shared" si="116"/>
        <v>平成6年9月14日</v>
      </c>
      <c r="I3643" s="22">
        <f t="shared" si="117"/>
        <v>34591</v>
      </c>
      <c r="J3643" s="1" t="str">
        <f>"00745109"</f>
        <v>00745109</v>
      </c>
      <c r="K3643" s="1" t="str">
        <f>"３５２　　　　　　　　　　　　　　　　　"</f>
        <v>３５２　　　　　　　　　　　　　　　　　</v>
      </c>
      <c r="L3643" s="1"/>
    </row>
    <row r="3644" spans="1:12" ht="18" customHeight="1" x14ac:dyDescent="0.15">
      <c r="A3644" s="25">
        <v>4159</v>
      </c>
      <c r="B3644" s="25" t="s">
        <v>58</v>
      </c>
      <c r="C3644" s="25" t="s">
        <v>300</v>
      </c>
      <c r="D3644" s="25">
        <v>1</v>
      </c>
      <c r="E3644" s="25" t="s">
        <v>17</v>
      </c>
      <c r="F3644" s="38">
        <v>27380</v>
      </c>
      <c r="G3644" s="38" t="s">
        <v>667</v>
      </c>
      <c r="H3644" s="25" t="str">
        <f t="shared" si="116"/>
        <v>平成6年9月14日</v>
      </c>
      <c r="I3644" s="22">
        <f t="shared" si="117"/>
        <v>34591</v>
      </c>
      <c r="J3644" s="1" t="str">
        <f>"00745111"</f>
        <v>00745111</v>
      </c>
      <c r="K3644" s="1" t="str">
        <f>"３５３　　　　　　　　　　　　　　　　　"</f>
        <v>３５３　　　　　　　　　　　　　　　　　</v>
      </c>
      <c r="L3644" s="1"/>
    </row>
    <row r="3645" spans="1:12" ht="18" customHeight="1" x14ac:dyDescent="0.15">
      <c r="A3645" s="25">
        <v>4160</v>
      </c>
      <c r="B3645" s="25" t="s">
        <v>58</v>
      </c>
      <c r="C3645" s="25" t="s">
        <v>300</v>
      </c>
      <c r="D3645" s="25">
        <v>1</v>
      </c>
      <c r="E3645" s="25" t="s">
        <v>17</v>
      </c>
      <c r="F3645" s="38">
        <v>27380</v>
      </c>
      <c r="G3645" s="38" t="s">
        <v>667</v>
      </c>
      <c r="H3645" s="25" t="str">
        <f t="shared" si="116"/>
        <v>平成6年9月14日</v>
      </c>
      <c r="I3645" s="22">
        <f t="shared" si="117"/>
        <v>34591</v>
      </c>
      <c r="J3645" s="1" t="str">
        <f>"00745113"</f>
        <v>00745113</v>
      </c>
      <c r="K3645" s="1" t="str">
        <f>"３５４　　　　　　　　　　　　　　　　　"</f>
        <v>３５４　　　　　　　　　　　　　　　　　</v>
      </c>
      <c r="L3645" s="1"/>
    </row>
    <row r="3646" spans="1:12" ht="18" customHeight="1" x14ac:dyDescent="0.15">
      <c r="A3646" s="25">
        <v>4161</v>
      </c>
      <c r="B3646" s="25" t="s">
        <v>58</v>
      </c>
      <c r="C3646" s="25" t="s">
        <v>300</v>
      </c>
      <c r="D3646" s="25">
        <v>1</v>
      </c>
      <c r="E3646" s="25" t="s">
        <v>17</v>
      </c>
      <c r="F3646" s="38">
        <v>27380</v>
      </c>
      <c r="G3646" s="38" t="s">
        <v>667</v>
      </c>
      <c r="H3646" s="25" t="str">
        <f t="shared" si="116"/>
        <v>平成6年9月14日</v>
      </c>
      <c r="I3646" s="22">
        <f t="shared" si="117"/>
        <v>34591</v>
      </c>
      <c r="J3646" s="1" t="str">
        <f>"00745115"</f>
        <v>00745115</v>
      </c>
      <c r="K3646" s="1" t="str">
        <f>"３５５　　　　　　　　　　　　　　　　　"</f>
        <v>３５５　　　　　　　　　　　　　　　　　</v>
      </c>
      <c r="L3646" s="1"/>
    </row>
    <row r="3647" spans="1:12" ht="18" customHeight="1" x14ac:dyDescent="0.15">
      <c r="A3647" s="25">
        <v>4162</v>
      </c>
      <c r="B3647" s="25" t="s">
        <v>58</v>
      </c>
      <c r="C3647" s="25" t="s">
        <v>300</v>
      </c>
      <c r="D3647" s="25">
        <v>1</v>
      </c>
      <c r="E3647" s="25" t="s">
        <v>17</v>
      </c>
      <c r="F3647" s="38">
        <v>27380</v>
      </c>
      <c r="G3647" s="38" t="s">
        <v>667</v>
      </c>
      <c r="H3647" s="25" t="str">
        <f t="shared" si="116"/>
        <v>平成6年9月14日</v>
      </c>
      <c r="I3647" s="22">
        <f t="shared" si="117"/>
        <v>34591</v>
      </c>
      <c r="J3647" s="1" t="str">
        <f>"00745117"</f>
        <v>00745117</v>
      </c>
      <c r="K3647" s="1" t="str">
        <f>"３５６　　　　　　　　　　　　　　　　　"</f>
        <v>３５６　　　　　　　　　　　　　　　　　</v>
      </c>
      <c r="L3647" s="1"/>
    </row>
    <row r="3648" spans="1:12" ht="18" customHeight="1" x14ac:dyDescent="0.15">
      <c r="A3648" s="25">
        <v>4163</v>
      </c>
      <c r="B3648" s="25" t="s">
        <v>58</v>
      </c>
      <c r="C3648" s="25" t="s">
        <v>300</v>
      </c>
      <c r="D3648" s="25">
        <v>1</v>
      </c>
      <c r="E3648" s="25" t="s">
        <v>17</v>
      </c>
      <c r="F3648" s="38">
        <v>27380</v>
      </c>
      <c r="G3648" s="38" t="s">
        <v>667</v>
      </c>
      <c r="H3648" s="25" t="str">
        <f t="shared" si="116"/>
        <v>平成6年9月14日</v>
      </c>
      <c r="I3648" s="22">
        <f t="shared" si="117"/>
        <v>34591</v>
      </c>
      <c r="J3648" s="1" t="str">
        <f>"00745119"</f>
        <v>00745119</v>
      </c>
      <c r="K3648" s="1" t="str">
        <f>"３５７　　　　　　　　　　　　　　　　　"</f>
        <v>３５７　　　　　　　　　　　　　　　　　</v>
      </c>
      <c r="L3648" s="1"/>
    </row>
    <row r="3649" spans="1:12" ht="18" customHeight="1" x14ac:dyDescent="0.15">
      <c r="A3649" s="25">
        <v>4164</v>
      </c>
      <c r="B3649" s="25" t="s">
        <v>58</v>
      </c>
      <c r="C3649" s="25" t="s">
        <v>300</v>
      </c>
      <c r="D3649" s="25">
        <v>1</v>
      </c>
      <c r="E3649" s="25" t="s">
        <v>17</v>
      </c>
      <c r="F3649" s="38">
        <v>27380</v>
      </c>
      <c r="G3649" s="38" t="s">
        <v>667</v>
      </c>
      <c r="H3649" s="25" t="str">
        <f t="shared" si="116"/>
        <v>平成6年9月14日</v>
      </c>
      <c r="I3649" s="22">
        <f t="shared" si="117"/>
        <v>34591</v>
      </c>
      <c r="J3649" s="1" t="str">
        <f>"00745121"</f>
        <v>00745121</v>
      </c>
      <c r="K3649" s="1" t="str">
        <f>"３５８　　　　　　　　　　　　　　　　　"</f>
        <v>３５８　　　　　　　　　　　　　　　　　</v>
      </c>
      <c r="L3649" s="1"/>
    </row>
    <row r="3650" spans="1:12" ht="18" customHeight="1" x14ac:dyDescent="0.15">
      <c r="A3650" s="25">
        <v>4165</v>
      </c>
      <c r="B3650" s="25" t="s">
        <v>58</v>
      </c>
      <c r="C3650" s="25" t="s">
        <v>300</v>
      </c>
      <c r="D3650" s="25">
        <v>1</v>
      </c>
      <c r="E3650" s="25" t="s">
        <v>17</v>
      </c>
      <c r="F3650" s="38">
        <v>27380</v>
      </c>
      <c r="G3650" s="38" t="s">
        <v>667</v>
      </c>
      <c r="H3650" s="25" t="str">
        <f t="shared" si="116"/>
        <v>平成6年9月14日</v>
      </c>
      <c r="I3650" s="22">
        <f t="shared" si="117"/>
        <v>34591</v>
      </c>
      <c r="J3650" s="1" t="str">
        <f>"00745123"</f>
        <v>00745123</v>
      </c>
      <c r="K3650" s="1" t="str">
        <f>"３５９　　　　　　　　　　　　　　　　　"</f>
        <v>３５９　　　　　　　　　　　　　　　　　</v>
      </c>
      <c r="L3650" s="1"/>
    </row>
    <row r="3651" spans="1:12" ht="18" customHeight="1" x14ac:dyDescent="0.15">
      <c r="A3651" s="25">
        <v>4166</v>
      </c>
      <c r="B3651" s="25" t="s">
        <v>58</v>
      </c>
      <c r="C3651" s="25" t="s">
        <v>300</v>
      </c>
      <c r="D3651" s="25">
        <v>1</v>
      </c>
      <c r="E3651" s="25" t="s">
        <v>17</v>
      </c>
      <c r="F3651" s="38">
        <v>27380</v>
      </c>
      <c r="G3651" s="38" t="s">
        <v>667</v>
      </c>
      <c r="H3651" s="25" t="str">
        <f t="shared" si="116"/>
        <v>平成6年9月14日</v>
      </c>
      <c r="I3651" s="22">
        <f t="shared" si="117"/>
        <v>34591</v>
      </c>
      <c r="J3651" s="1" t="str">
        <f>"00745125"</f>
        <v>00745125</v>
      </c>
      <c r="K3651" s="1" t="str">
        <f>"３６０　　　　　　　　　　　　　　　　　"</f>
        <v>３６０　　　　　　　　　　　　　　　　　</v>
      </c>
      <c r="L3651" s="1"/>
    </row>
    <row r="3652" spans="1:12" ht="18" customHeight="1" x14ac:dyDescent="0.15">
      <c r="A3652" s="25">
        <v>4167</v>
      </c>
      <c r="B3652" s="25" t="s">
        <v>58</v>
      </c>
      <c r="C3652" s="25" t="s">
        <v>300</v>
      </c>
      <c r="D3652" s="25">
        <v>1</v>
      </c>
      <c r="E3652" s="25" t="s">
        <v>17</v>
      </c>
      <c r="F3652" s="38">
        <v>27380</v>
      </c>
      <c r="G3652" s="38" t="s">
        <v>667</v>
      </c>
      <c r="H3652" s="25" t="str">
        <f t="shared" si="116"/>
        <v>平成6年9月14日</v>
      </c>
      <c r="I3652" s="22">
        <f t="shared" si="117"/>
        <v>34591</v>
      </c>
      <c r="J3652" s="1" t="str">
        <f>"00745127"</f>
        <v>00745127</v>
      </c>
      <c r="K3652" s="1" t="str">
        <f>"３６１　　　　　　　　　　　　　　　　　"</f>
        <v>３６１　　　　　　　　　　　　　　　　　</v>
      </c>
      <c r="L3652" s="1"/>
    </row>
    <row r="3653" spans="1:12" ht="18" customHeight="1" x14ac:dyDescent="0.15">
      <c r="A3653" s="25">
        <v>4168</v>
      </c>
      <c r="B3653" s="25" t="s">
        <v>58</v>
      </c>
      <c r="C3653" s="25" t="s">
        <v>300</v>
      </c>
      <c r="D3653" s="25">
        <v>1</v>
      </c>
      <c r="E3653" s="25" t="s">
        <v>17</v>
      </c>
      <c r="F3653" s="38">
        <v>27380</v>
      </c>
      <c r="G3653" s="38" t="s">
        <v>667</v>
      </c>
      <c r="H3653" s="25" t="str">
        <f t="shared" si="116"/>
        <v>平成6年9月14日</v>
      </c>
      <c r="I3653" s="22">
        <f t="shared" si="117"/>
        <v>34591</v>
      </c>
      <c r="J3653" s="1" t="str">
        <f>"00745129"</f>
        <v>00745129</v>
      </c>
      <c r="K3653" s="1" t="str">
        <f>"３６２　　　　　　　　　　　　　　　　　"</f>
        <v>３６２　　　　　　　　　　　　　　　　　</v>
      </c>
      <c r="L3653" s="1"/>
    </row>
    <row r="3654" spans="1:12" ht="18" customHeight="1" x14ac:dyDescent="0.15">
      <c r="A3654" s="25">
        <v>4169</v>
      </c>
      <c r="B3654" s="25" t="s">
        <v>58</v>
      </c>
      <c r="C3654" s="25" t="s">
        <v>300</v>
      </c>
      <c r="D3654" s="25">
        <v>1</v>
      </c>
      <c r="E3654" s="25" t="s">
        <v>17</v>
      </c>
      <c r="F3654" s="38">
        <v>27380</v>
      </c>
      <c r="G3654" s="38" t="s">
        <v>667</v>
      </c>
      <c r="H3654" s="25" t="str">
        <f t="shared" si="116"/>
        <v>平成6年9月14日</v>
      </c>
      <c r="I3654" s="22">
        <f t="shared" si="117"/>
        <v>34591</v>
      </c>
      <c r="J3654" s="1" t="str">
        <f>"00745131"</f>
        <v>00745131</v>
      </c>
      <c r="K3654" s="1" t="str">
        <f>"３６３　　　　　　　　　　　　　　　　　"</f>
        <v>３６３　　　　　　　　　　　　　　　　　</v>
      </c>
      <c r="L3654" s="1"/>
    </row>
    <row r="3655" spans="1:12" ht="18" customHeight="1" x14ac:dyDescent="0.15">
      <c r="A3655" s="25">
        <v>4170</v>
      </c>
      <c r="B3655" s="25" t="s">
        <v>58</v>
      </c>
      <c r="C3655" s="25" t="s">
        <v>300</v>
      </c>
      <c r="D3655" s="25">
        <v>1</v>
      </c>
      <c r="E3655" s="25" t="s">
        <v>17</v>
      </c>
      <c r="F3655" s="38">
        <v>27380</v>
      </c>
      <c r="G3655" s="38" t="s">
        <v>667</v>
      </c>
      <c r="H3655" s="25" t="str">
        <f t="shared" si="116"/>
        <v>平成6年9月14日</v>
      </c>
      <c r="I3655" s="22">
        <f t="shared" si="117"/>
        <v>34591</v>
      </c>
      <c r="J3655" s="1" t="str">
        <f>"00745133"</f>
        <v>00745133</v>
      </c>
      <c r="K3655" s="1" t="str">
        <f>"３６４　　　　　　　　　　　　　　　　　"</f>
        <v>３６４　　　　　　　　　　　　　　　　　</v>
      </c>
      <c r="L3655" s="1"/>
    </row>
    <row r="3656" spans="1:12" ht="18" customHeight="1" x14ac:dyDescent="0.15">
      <c r="A3656" s="25">
        <v>4171</v>
      </c>
      <c r="B3656" s="25" t="s">
        <v>58</v>
      </c>
      <c r="C3656" s="25" t="s">
        <v>300</v>
      </c>
      <c r="D3656" s="25">
        <v>1</v>
      </c>
      <c r="E3656" s="25" t="s">
        <v>17</v>
      </c>
      <c r="F3656" s="38">
        <v>27380</v>
      </c>
      <c r="G3656" s="38" t="s">
        <v>667</v>
      </c>
      <c r="H3656" s="25" t="str">
        <f t="shared" si="116"/>
        <v>平成6年9月14日</v>
      </c>
      <c r="I3656" s="22">
        <f t="shared" si="117"/>
        <v>34591</v>
      </c>
      <c r="J3656" s="1" t="str">
        <f>"00745135"</f>
        <v>00745135</v>
      </c>
      <c r="K3656" s="1" t="str">
        <f>"３６５　　　　　　　　　　　　　　　　　"</f>
        <v>３６５　　　　　　　　　　　　　　　　　</v>
      </c>
      <c r="L3656" s="1"/>
    </row>
    <row r="3657" spans="1:12" ht="18" customHeight="1" x14ac:dyDescent="0.15">
      <c r="A3657" s="25">
        <v>4172</v>
      </c>
      <c r="B3657" s="25" t="s">
        <v>58</v>
      </c>
      <c r="C3657" s="25" t="s">
        <v>300</v>
      </c>
      <c r="D3657" s="25">
        <v>1</v>
      </c>
      <c r="E3657" s="25" t="s">
        <v>17</v>
      </c>
      <c r="F3657" s="38">
        <v>27380</v>
      </c>
      <c r="G3657" s="38" t="s">
        <v>667</v>
      </c>
      <c r="H3657" s="25" t="str">
        <f t="shared" si="116"/>
        <v>平成6年9月14日</v>
      </c>
      <c r="I3657" s="22">
        <f t="shared" si="117"/>
        <v>34591</v>
      </c>
      <c r="J3657" s="1" t="str">
        <f>"00745137"</f>
        <v>00745137</v>
      </c>
      <c r="K3657" s="1" t="str">
        <f>"３６６　　　　　　　　　　　　　　　　　"</f>
        <v>３６６　　　　　　　　　　　　　　　　　</v>
      </c>
      <c r="L3657" s="1"/>
    </row>
    <row r="3658" spans="1:12" ht="18" customHeight="1" x14ac:dyDescent="0.15">
      <c r="A3658" s="25">
        <v>4173</v>
      </c>
      <c r="B3658" s="25" t="s">
        <v>58</v>
      </c>
      <c r="C3658" s="25" t="s">
        <v>300</v>
      </c>
      <c r="D3658" s="25">
        <v>1</v>
      </c>
      <c r="E3658" s="25" t="s">
        <v>17</v>
      </c>
      <c r="F3658" s="38">
        <v>27380</v>
      </c>
      <c r="G3658" s="38" t="s">
        <v>667</v>
      </c>
      <c r="H3658" s="25" t="str">
        <f t="shared" si="116"/>
        <v>平成6年9月14日</v>
      </c>
      <c r="I3658" s="22">
        <f t="shared" si="117"/>
        <v>34591</v>
      </c>
      <c r="J3658" s="1" t="str">
        <f>"00745139"</f>
        <v>00745139</v>
      </c>
      <c r="K3658" s="1" t="str">
        <f>"３６７　　　　　　　　　　　　　　　　　"</f>
        <v>３６７　　　　　　　　　　　　　　　　　</v>
      </c>
      <c r="L3658" s="1"/>
    </row>
    <row r="3659" spans="1:12" ht="18" customHeight="1" x14ac:dyDescent="0.15">
      <c r="A3659" s="25">
        <v>4174</v>
      </c>
      <c r="B3659" s="25" t="s">
        <v>58</v>
      </c>
      <c r="C3659" s="25" t="s">
        <v>300</v>
      </c>
      <c r="D3659" s="25">
        <v>1</v>
      </c>
      <c r="E3659" s="25" t="s">
        <v>17</v>
      </c>
      <c r="F3659" s="38">
        <v>27380</v>
      </c>
      <c r="G3659" s="38" t="s">
        <v>667</v>
      </c>
      <c r="H3659" s="25" t="str">
        <f t="shared" si="116"/>
        <v>平成6年9月14日</v>
      </c>
      <c r="I3659" s="22">
        <f t="shared" si="117"/>
        <v>34591</v>
      </c>
      <c r="J3659" s="1" t="str">
        <f>"00745141"</f>
        <v>00745141</v>
      </c>
      <c r="K3659" s="1" t="str">
        <f>"３６８　　　　　　　　　　　　　　　　　"</f>
        <v>３６８　　　　　　　　　　　　　　　　　</v>
      </c>
      <c r="L3659" s="1"/>
    </row>
    <row r="3660" spans="1:12" ht="18" customHeight="1" x14ac:dyDescent="0.15">
      <c r="A3660" s="25">
        <v>4175</v>
      </c>
      <c r="B3660" s="25" t="s">
        <v>58</v>
      </c>
      <c r="C3660" s="25" t="s">
        <v>300</v>
      </c>
      <c r="D3660" s="25">
        <v>1</v>
      </c>
      <c r="E3660" s="25" t="s">
        <v>17</v>
      </c>
      <c r="F3660" s="38">
        <v>27380</v>
      </c>
      <c r="G3660" s="38" t="s">
        <v>667</v>
      </c>
      <c r="H3660" s="25" t="str">
        <f t="shared" si="116"/>
        <v>平成6年9月14日</v>
      </c>
      <c r="I3660" s="22">
        <f t="shared" si="117"/>
        <v>34591</v>
      </c>
      <c r="J3660" s="1" t="str">
        <f>"00745143"</f>
        <v>00745143</v>
      </c>
      <c r="K3660" s="1" t="str">
        <f>"３６９　　　　　　　　　　　　　　　　　"</f>
        <v>３６９　　　　　　　　　　　　　　　　　</v>
      </c>
      <c r="L3660" s="1"/>
    </row>
    <row r="3661" spans="1:12" ht="18" customHeight="1" x14ac:dyDescent="0.15">
      <c r="A3661" s="25">
        <v>4176</v>
      </c>
      <c r="B3661" s="25" t="s">
        <v>58</v>
      </c>
      <c r="C3661" s="25" t="s">
        <v>300</v>
      </c>
      <c r="D3661" s="25">
        <v>1</v>
      </c>
      <c r="E3661" s="25" t="s">
        <v>17</v>
      </c>
      <c r="F3661" s="38">
        <v>27380</v>
      </c>
      <c r="G3661" s="38" t="s">
        <v>667</v>
      </c>
      <c r="H3661" s="25" t="str">
        <f t="shared" si="116"/>
        <v>平成6年9月14日</v>
      </c>
      <c r="I3661" s="22">
        <f t="shared" si="117"/>
        <v>34591</v>
      </c>
      <c r="J3661" s="1" t="str">
        <f>"00745145"</f>
        <v>00745145</v>
      </c>
      <c r="K3661" s="1" t="str">
        <f>"３７０　　　　　　　　　　　　　　　　　"</f>
        <v>３７０　　　　　　　　　　　　　　　　　</v>
      </c>
      <c r="L3661" s="1"/>
    </row>
    <row r="3662" spans="1:12" ht="18" customHeight="1" x14ac:dyDescent="0.15">
      <c r="A3662" s="25">
        <v>4177</v>
      </c>
      <c r="B3662" s="25" t="s">
        <v>58</v>
      </c>
      <c r="C3662" s="25" t="s">
        <v>300</v>
      </c>
      <c r="D3662" s="25">
        <v>1</v>
      </c>
      <c r="E3662" s="25" t="s">
        <v>17</v>
      </c>
      <c r="F3662" s="38">
        <v>27380</v>
      </c>
      <c r="G3662" s="38" t="s">
        <v>667</v>
      </c>
      <c r="H3662" s="25" t="str">
        <f t="shared" si="116"/>
        <v>平成6年9月14日</v>
      </c>
      <c r="I3662" s="22">
        <f t="shared" si="117"/>
        <v>34591</v>
      </c>
      <c r="J3662" s="1" t="str">
        <f>"00745147"</f>
        <v>00745147</v>
      </c>
      <c r="K3662" s="1" t="str">
        <f>"３７１　　　　　　　　　　　　　　　　　"</f>
        <v>３７１　　　　　　　　　　　　　　　　　</v>
      </c>
      <c r="L3662" s="1"/>
    </row>
    <row r="3663" spans="1:12" ht="18" customHeight="1" x14ac:dyDescent="0.15">
      <c r="A3663" s="25">
        <v>4178</v>
      </c>
      <c r="B3663" s="25" t="s">
        <v>58</v>
      </c>
      <c r="C3663" s="25" t="s">
        <v>300</v>
      </c>
      <c r="D3663" s="25">
        <v>1</v>
      </c>
      <c r="E3663" s="25" t="s">
        <v>17</v>
      </c>
      <c r="F3663" s="38">
        <v>27380</v>
      </c>
      <c r="G3663" s="38" t="s">
        <v>667</v>
      </c>
      <c r="H3663" s="25" t="str">
        <f t="shared" ref="H3663:H3726" si="118">"平成6年9月14日"</f>
        <v>平成6年9月14日</v>
      </c>
      <c r="I3663" s="22">
        <f t="shared" si="117"/>
        <v>34591</v>
      </c>
      <c r="J3663" s="1" t="str">
        <f>"00745149"</f>
        <v>00745149</v>
      </c>
      <c r="K3663" s="1" t="str">
        <f>"３７２　　　　　　　　　　　　　　　　　"</f>
        <v>３７２　　　　　　　　　　　　　　　　　</v>
      </c>
      <c r="L3663" s="1"/>
    </row>
    <row r="3664" spans="1:12" ht="18" customHeight="1" x14ac:dyDescent="0.15">
      <c r="A3664" s="25">
        <v>4179</v>
      </c>
      <c r="B3664" s="25" t="s">
        <v>58</v>
      </c>
      <c r="C3664" s="25" t="s">
        <v>300</v>
      </c>
      <c r="D3664" s="25">
        <v>1</v>
      </c>
      <c r="E3664" s="25" t="s">
        <v>17</v>
      </c>
      <c r="F3664" s="38">
        <v>27380</v>
      </c>
      <c r="G3664" s="38" t="s">
        <v>667</v>
      </c>
      <c r="H3664" s="25" t="str">
        <f t="shared" si="118"/>
        <v>平成6年9月14日</v>
      </c>
      <c r="I3664" s="22">
        <f t="shared" si="117"/>
        <v>34591</v>
      </c>
      <c r="J3664" s="1" t="str">
        <f>"00745151"</f>
        <v>00745151</v>
      </c>
      <c r="K3664" s="1" t="str">
        <f>"３７３　　　　　　　　　　　　　　　　　"</f>
        <v>３７３　　　　　　　　　　　　　　　　　</v>
      </c>
      <c r="L3664" s="1"/>
    </row>
    <row r="3665" spans="1:12" ht="18" customHeight="1" x14ac:dyDescent="0.15">
      <c r="A3665" s="25">
        <v>4180</v>
      </c>
      <c r="B3665" s="25" t="s">
        <v>58</v>
      </c>
      <c r="C3665" s="25" t="s">
        <v>300</v>
      </c>
      <c r="D3665" s="25">
        <v>1</v>
      </c>
      <c r="E3665" s="25" t="s">
        <v>17</v>
      </c>
      <c r="F3665" s="38">
        <v>27380</v>
      </c>
      <c r="G3665" s="38" t="s">
        <v>667</v>
      </c>
      <c r="H3665" s="25" t="str">
        <f t="shared" si="118"/>
        <v>平成6年9月14日</v>
      </c>
      <c r="I3665" s="22">
        <f t="shared" si="117"/>
        <v>34591</v>
      </c>
      <c r="J3665" s="1" t="str">
        <f>"00745153"</f>
        <v>00745153</v>
      </c>
      <c r="K3665" s="1" t="str">
        <f>"３７４　　　　　　　　　　　　　　　　　"</f>
        <v>３７４　　　　　　　　　　　　　　　　　</v>
      </c>
      <c r="L3665" s="1"/>
    </row>
    <row r="3666" spans="1:12" ht="18" customHeight="1" x14ac:dyDescent="0.15">
      <c r="A3666" s="25">
        <v>4181</v>
      </c>
      <c r="B3666" s="25" t="s">
        <v>58</v>
      </c>
      <c r="C3666" s="25" t="s">
        <v>300</v>
      </c>
      <c r="D3666" s="25">
        <v>1</v>
      </c>
      <c r="E3666" s="25" t="s">
        <v>17</v>
      </c>
      <c r="F3666" s="38">
        <v>27380</v>
      </c>
      <c r="G3666" s="38" t="s">
        <v>667</v>
      </c>
      <c r="H3666" s="25" t="str">
        <f t="shared" si="118"/>
        <v>平成6年9月14日</v>
      </c>
      <c r="I3666" s="22">
        <f t="shared" ref="I3666:I3729" si="119">DATEVALUE(H3666)</f>
        <v>34591</v>
      </c>
      <c r="J3666" s="1" t="str">
        <f>"00745155"</f>
        <v>00745155</v>
      </c>
      <c r="K3666" s="1" t="str">
        <f>"３７５　　　　　　　　　　　　　　　　　"</f>
        <v>３７５　　　　　　　　　　　　　　　　　</v>
      </c>
      <c r="L3666" s="1"/>
    </row>
    <row r="3667" spans="1:12" ht="18" customHeight="1" x14ac:dyDescent="0.15">
      <c r="A3667" s="25">
        <v>4182</v>
      </c>
      <c r="B3667" s="25" t="s">
        <v>58</v>
      </c>
      <c r="C3667" s="25" t="s">
        <v>300</v>
      </c>
      <c r="D3667" s="25">
        <v>1</v>
      </c>
      <c r="E3667" s="25" t="s">
        <v>17</v>
      </c>
      <c r="F3667" s="38">
        <v>27380</v>
      </c>
      <c r="G3667" s="38" t="s">
        <v>667</v>
      </c>
      <c r="H3667" s="25" t="str">
        <f t="shared" si="118"/>
        <v>平成6年9月14日</v>
      </c>
      <c r="I3667" s="22">
        <f t="shared" si="119"/>
        <v>34591</v>
      </c>
      <c r="J3667" s="1" t="str">
        <f>"00745157"</f>
        <v>00745157</v>
      </c>
      <c r="K3667" s="1" t="str">
        <f>"３７６　　　　　　　　　　　　　　　　　"</f>
        <v>３７６　　　　　　　　　　　　　　　　　</v>
      </c>
      <c r="L3667" s="1"/>
    </row>
    <row r="3668" spans="1:12" ht="18" customHeight="1" x14ac:dyDescent="0.15">
      <c r="A3668" s="25">
        <v>4183</v>
      </c>
      <c r="B3668" s="25" t="s">
        <v>58</v>
      </c>
      <c r="C3668" s="25" t="s">
        <v>300</v>
      </c>
      <c r="D3668" s="25">
        <v>1</v>
      </c>
      <c r="E3668" s="25" t="s">
        <v>17</v>
      </c>
      <c r="F3668" s="38">
        <v>27380</v>
      </c>
      <c r="G3668" s="38" t="s">
        <v>667</v>
      </c>
      <c r="H3668" s="25" t="str">
        <f t="shared" si="118"/>
        <v>平成6年9月14日</v>
      </c>
      <c r="I3668" s="22">
        <f t="shared" si="119"/>
        <v>34591</v>
      </c>
      <c r="J3668" s="1" t="str">
        <f>"00745159"</f>
        <v>00745159</v>
      </c>
      <c r="K3668" s="1" t="str">
        <f>"３７７　　　　　　　　　　　　　　　　　"</f>
        <v>３７７　　　　　　　　　　　　　　　　　</v>
      </c>
      <c r="L3668" s="1"/>
    </row>
    <row r="3669" spans="1:12" ht="18" customHeight="1" x14ac:dyDescent="0.15">
      <c r="A3669" s="25">
        <v>4184</v>
      </c>
      <c r="B3669" s="25" t="s">
        <v>58</v>
      </c>
      <c r="C3669" s="25" t="s">
        <v>300</v>
      </c>
      <c r="D3669" s="25">
        <v>1</v>
      </c>
      <c r="E3669" s="25" t="s">
        <v>17</v>
      </c>
      <c r="F3669" s="38">
        <v>27380</v>
      </c>
      <c r="G3669" s="38" t="s">
        <v>667</v>
      </c>
      <c r="H3669" s="25" t="str">
        <f t="shared" si="118"/>
        <v>平成6年9月14日</v>
      </c>
      <c r="I3669" s="22">
        <f t="shared" si="119"/>
        <v>34591</v>
      </c>
      <c r="J3669" s="1" t="str">
        <f>"00745161"</f>
        <v>00745161</v>
      </c>
      <c r="K3669" s="1" t="str">
        <f>"３７８　　　　　　　　　　　　　　　　　"</f>
        <v>３７８　　　　　　　　　　　　　　　　　</v>
      </c>
      <c r="L3669" s="1"/>
    </row>
    <row r="3670" spans="1:12" ht="18" customHeight="1" x14ac:dyDescent="0.15">
      <c r="A3670" s="25">
        <v>4185</v>
      </c>
      <c r="B3670" s="25" t="s">
        <v>58</v>
      </c>
      <c r="C3670" s="25" t="s">
        <v>300</v>
      </c>
      <c r="D3670" s="25">
        <v>1</v>
      </c>
      <c r="E3670" s="25" t="s">
        <v>17</v>
      </c>
      <c r="F3670" s="38">
        <v>27380</v>
      </c>
      <c r="G3670" s="38" t="s">
        <v>667</v>
      </c>
      <c r="H3670" s="25" t="str">
        <f t="shared" si="118"/>
        <v>平成6年9月14日</v>
      </c>
      <c r="I3670" s="22">
        <f t="shared" si="119"/>
        <v>34591</v>
      </c>
      <c r="J3670" s="1" t="str">
        <f>"00745163"</f>
        <v>00745163</v>
      </c>
      <c r="K3670" s="1" t="str">
        <f>"３７９　　　　　　　　　　　　　　　　　"</f>
        <v>３７９　　　　　　　　　　　　　　　　　</v>
      </c>
      <c r="L3670" s="1"/>
    </row>
    <row r="3671" spans="1:12" ht="18" customHeight="1" x14ac:dyDescent="0.15">
      <c r="A3671" s="25">
        <v>4186</v>
      </c>
      <c r="B3671" s="25" t="s">
        <v>58</v>
      </c>
      <c r="C3671" s="25" t="s">
        <v>300</v>
      </c>
      <c r="D3671" s="25">
        <v>1</v>
      </c>
      <c r="E3671" s="25" t="s">
        <v>17</v>
      </c>
      <c r="F3671" s="38">
        <v>27380</v>
      </c>
      <c r="G3671" s="38" t="s">
        <v>667</v>
      </c>
      <c r="H3671" s="25" t="str">
        <f t="shared" si="118"/>
        <v>平成6年9月14日</v>
      </c>
      <c r="I3671" s="22">
        <f t="shared" si="119"/>
        <v>34591</v>
      </c>
      <c r="J3671" s="1" t="str">
        <f>"00745165"</f>
        <v>00745165</v>
      </c>
      <c r="K3671" s="1" t="str">
        <f>"３８０　　　　　　　　　　　　　　　　　"</f>
        <v>３８０　　　　　　　　　　　　　　　　　</v>
      </c>
      <c r="L3671" s="1"/>
    </row>
    <row r="3672" spans="1:12" ht="18" customHeight="1" x14ac:dyDescent="0.15">
      <c r="A3672" s="25">
        <v>4187</v>
      </c>
      <c r="B3672" s="25" t="s">
        <v>58</v>
      </c>
      <c r="C3672" s="25" t="s">
        <v>300</v>
      </c>
      <c r="D3672" s="25">
        <v>1</v>
      </c>
      <c r="E3672" s="25" t="s">
        <v>17</v>
      </c>
      <c r="F3672" s="38">
        <v>27380</v>
      </c>
      <c r="G3672" s="38" t="s">
        <v>667</v>
      </c>
      <c r="H3672" s="25" t="str">
        <f t="shared" si="118"/>
        <v>平成6年9月14日</v>
      </c>
      <c r="I3672" s="22">
        <f t="shared" si="119"/>
        <v>34591</v>
      </c>
      <c r="J3672" s="1" t="str">
        <f>"00745167"</f>
        <v>00745167</v>
      </c>
      <c r="K3672" s="1" t="str">
        <f>"３８１　　　　　　　　　　　　　　　　　"</f>
        <v>３８１　　　　　　　　　　　　　　　　　</v>
      </c>
      <c r="L3672" s="1"/>
    </row>
    <row r="3673" spans="1:12" ht="18" customHeight="1" x14ac:dyDescent="0.15">
      <c r="A3673" s="25">
        <v>4188</v>
      </c>
      <c r="B3673" s="25" t="s">
        <v>58</v>
      </c>
      <c r="C3673" s="25" t="s">
        <v>300</v>
      </c>
      <c r="D3673" s="25">
        <v>1</v>
      </c>
      <c r="E3673" s="25" t="s">
        <v>17</v>
      </c>
      <c r="F3673" s="38">
        <v>27380</v>
      </c>
      <c r="G3673" s="38" t="s">
        <v>667</v>
      </c>
      <c r="H3673" s="25" t="str">
        <f t="shared" si="118"/>
        <v>平成6年9月14日</v>
      </c>
      <c r="I3673" s="22">
        <f t="shared" si="119"/>
        <v>34591</v>
      </c>
      <c r="J3673" s="1" t="str">
        <f>"00745169"</f>
        <v>00745169</v>
      </c>
      <c r="K3673" s="1" t="str">
        <f>"３８２　　　　　　　　　　　　　　　　　"</f>
        <v>３８２　　　　　　　　　　　　　　　　　</v>
      </c>
      <c r="L3673" s="1"/>
    </row>
    <row r="3674" spans="1:12" ht="18" customHeight="1" x14ac:dyDescent="0.15">
      <c r="A3674" s="25">
        <v>4189</v>
      </c>
      <c r="B3674" s="25" t="s">
        <v>58</v>
      </c>
      <c r="C3674" s="25" t="s">
        <v>300</v>
      </c>
      <c r="D3674" s="25">
        <v>1</v>
      </c>
      <c r="E3674" s="25" t="s">
        <v>17</v>
      </c>
      <c r="F3674" s="38">
        <v>27380</v>
      </c>
      <c r="G3674" s="38" t="s">
        <v>667</v>
      </c>
      <c r="H3674" s="25" t="str">
        <f t="shared" si="118"/>
        <v>平成6年9月14日</v>
      </c>
      <c r="I3674" s="22">
        <f t="shared" si="119"/>
        <v>34591</v>
      </c>
      <c r="J3674" s="1" t="str">
        <f>"00745171"</f>
        <v>00745171</v>
      </c>
      <c r="K3674" s="1" t="str">
        <f>"３８３　　　　　　　　　　　　　　　　　"</f>
        <v>３８３　　　　　　　　　　　　　　　　　</v>
      </c>
      <c r="L3674" s="1"/>
    </row>
    <row r="3675" spans="1:12" ht="18" customHeight="1" x14ac:dyDescent="0.15">
      <c r="A3675" s="25">
        <v>4190</v>
      </c>
      <c r="B3675" s="25" t="s">
        <v>58</v>
      </c>
      <c r="C3675" s="25" t="s">
        <v>300</v>
      </c>
      <c r="D3675" s="25">
        <v>1</v>
      </c>
      <c r="E3675" s="25" t="s">
        <v>17</v>
      </c>
      <c r="F3675" s="38">
        <v>27380</v>
      </c>
      <c r="G3675" s="38" t="s">
        <v>667</v>
      </c>
      <c r="H3675" s="25" t="str">
        <f t="shared" si="118"/>
        <v>平成6年9月14日</v>
      </c>
      <c r="I3675" s="22">
        <f t="shared" si="119"/>
        <v>34591</v>
      </c>
      <c r="J3675" s="1" t="str">
        <f>"00745173"</f>
        <v>00745173</v>
      </c>
      <c r="K3675" s="1" t="str">
        <f>"３８４　　　　　　　　　　　　　　　　　"</f>
        <v>３８４　　　　　　　　　　　　　　　　　</v>
      </c>
      <c r="L3675" s="1"/>
    </row>
    <row r="3676" spans="1:12" ht="18" customHeight="1" x14ac:dyDescent="0.15">
      <c r="A3676" s="25">
        <v>4191</v>
      </c>
      <c r="B3676" s="25" t="s">
        <v>58</v>
      </c>
      <c r="C3676" s="25" t="s">
        <v>300</v>
      </c>
      <c r="D3676" s="25">
        <v>1</v>
      </c>
      <c r="E3676" s="25" t="s">
        <v>17</v>
      </c>
      <c r="F3676" s="38">
        <v>27380</v>
      </c>
      <c r="G3676" s="38" t="s">
        <v>667</v>
      </c>
      <c r="H3676" s="25" t="str">
        <f t="shared" si="118"/>
        <v>平成6年9月14日</v>
      </c>
      <c r="I3676" s="22">
        <f t="shared" si="119"/>
        <v>34591</v>
      </c>
      <c r="J3676" s="1" t="str">
        <f>"00745175"</f>
        <v>00745175</v>
      </c>
      <c r="K3676" s="1" t="str">
        <f>"３８５　　　　　　　　　　　　　　　　　"</f>
        <v>３８５　　　　　　　　　　　　　　　　　</v>
      </c>
      <c r="L3676" s="1"/>
    </row>
    <row r="3677" spans="1:12" ht="18" customHeight="1" x14ac:dyDescent="0.15">
      <c r="A3677" s="25">
        <v>4192</v>
      </c>
      <c r="B3677" s="25" t="s">
        <v>58</v>
      </c>
      <c r="C3677" s="25" t="s">
        <v>300</v>
      </c>
      <c r="D3677" s="25">
        <v>1</v>
      </c>
      <c r="E3677" s="25" t="s">
        <v>17</v>
      </c>
      <c r="F3677" s="38">
        <v>27380</v>
      </c>
      <c r="G3677" s="38" t="s">
        <v>667</v>
      </c>
      <c r="H3677" s="25" t="str">
        <f t="shared" si="118"/>
        <v>平成6年9月14日</v>
      </c>
      <c r="I3677" s="22">
        <f t="shared" si="119"/>
        <v>34591</v>
      </c>
      <c r="J3677" s="1" t="str">
        <f>"00745177"</f>
        <v>00745177</v>
      </c>
      <c r="K3677" s="1" t="str">
        <f>"３８６　　　　　　　　　　　　　　　　　"</f>
        <v>３８６　　　　　　　　　　　　　　　　　</v>
      </c>
      <c r="L3677" s="1"/>
    </row>
    <row r="3678" spans="1:12" ht="18" customHeight="1" x14ac:dyDescent="0.15">
      <c r="A3678" s="25">
        <v>4193</v>
      </c>
      <c r="B3678" s="25" t="s">
        <v>58</v>
      </c>
      <c r="C3678" s="25" t="s">
        <v>300</v>
      </c>
      <c r="D3678" s="25">
        <v>1</v>
      </c>
      <c r="E3678" s="25" t="s">
        <v>17</v>
      </c>
      <c r="F3678" s="38">
        <v>27380</v>
      </c>
      <c r="G3678" s="38" t="s">
        <v>667</v>
      </c>
      <c r="H3678" s="25" t="str">
        <f t="shared" si="118"/>
        <v>平成6年9月14日</v>
      </c>
      <c r="I3678" s="22">
        <f t="shared" si="119"/>
        <v>34591</v>
      </c>
      <c r="J3678" s="1" t="str">
        <f>"00745179"</f>
        <v>00745179</v>
      </c>
      <c r="K3678" s="1" t="str">
        <f>"３８７　　　　　　　　　　　　　　　　　"</f>
        <v>３８７　　　　　　　　　　　　　　　　　</v>
      </c>
      <c r="L3678" s="1"/>
    </row>
    <row r="3679" spans="1:12" ht="18" customHeight="1" x14ac:dyDescent="0.15">
      <c r="A3679" s="25">
        <v>4194</v>
      </c>
      <c r="B3679" s="25" t="s">
        <v>58</v>
      </c>
      <c r="C3679" s="25" t="s">
        <v>300</v>
      </c>
      <c r="D3679" s="25">
        <v>1</v>
      </c>
      <c r="E3679" s="25" t="s">
        <v>17</v>
      </c>
      <c r="F3679" s="38">
        <v>27380</v>
      </c>
      <c r="G3679" s="38" t="s">
        <v>667</v>
      </c>
      <c r="H3679" s="25" t="str">
        <f t="shared" si="118"/>
        <v>平成6年9月14日</v>
      </c>
      <c r="I3679" s="22">
        <f t="shared" si="119"/>
        <v>34591</v>
      </c>
      <c r="J3679" s="1" t="str">
        <f>"00745181"</f>
        <v>00745181</v>
      </c>
      <c r="K3679" s="1" t="str">
        <f>"３８８　　　　　　　　　　　　　　　　　"</f>
        <v>３８８　　　　　　　　　　　　　　　　　</v>
      </c>
      <c r="L3679" s="1"/>
    </row>
    <row r="3680" spans="1:12" ht="18" customHeight="1" x14ac:dyDescent="0.15">
      <c r="A3680" s="25">
        <v>4195</v>
      </c>
      <c r="B3680" s="25" t="s">
        <v>58</v>
      </c>
      <c r="C3680" s="25" t="s">
        <v>300</v>
      </c>
      <c r="D3680" s="25">
        <v>1</v>
      </c>
      <c r="E3680" s="25" t="s">
        <v>17</v>
      </c>
      <c r="F3680" s="38">
        <v>27380</v>
      </c>
      <c r="G3680" s="38" t="s">
        <v>667</v>
      </c>
      <c r="H3680" s="25" t="str">
        <f t="shared" si="118"/>
        <v>平成6年9月14日</v>
      </c>
      <c r="I3680" s="22">
        <f t="shared" si="119"/>
        <v>34591</v>
      </c>
      <c r="J3680" s="1" t="str">
        <f>"00745183"</f>
        <v>00745183</v>
      </c>
      <c r="K3680" s="1" t="str">
        <f>"３８９　　　　　　　　　　　　　　　　　"</f>
        <v>３８９　　　　　　　　　　　　　　　　　</v>
      </c>
      <c r="L3680" s="1"/>
    </row>
    <row r="3681" spans="1:12" ht="18" customHeight="1" x14ac:dyDescent="0.15">
      <c r="A3681" s="25">
        <v>4196</v>
      </c>
      <c r="B3681" s="25" t="s">
        <v>58</v>
      </c>
      <c r="C3681" s="25" t="s">
        <v>300</v>
      </c>
      <c r="D3681" s="25">
        <v>1</v>
      </c>
      <c r="E3681" s="25" t="s">
        <v>17</v>
      </c>
      <c r="F3681" s="38">
        <v>27380</v>
      </c>
      <c r="G3681" s="38" t="s">
        <v>667</v>
      </c>
      <c r="H3681" s="25" t="str">
        <f t="shared" si="118"/>
        <v>平成6年9月14日</v>
      </c>
      <c r="I3681" s="22">
        <f t="shared" si="119"/>
        <v>34591</v>
      </c>
      <c r="J3681" s="1" t="str">
        <f>"00745185"</f>
        <v>00745185</v>
      </c>
      <c r="K3681" s="1" t="str">
        <f>"３９０　　　　　　　　　　　　　　　　　"</f>
        <v>３９０　　　　　　　　　　　　　　　　　</v>
      </c>
      <c r="L3681" s="1"/>
    </row>
    <row r="3682" spans="1:12" ht="18" customHeight="1" x14ac:dyDescent="0.15">
      <c r="A3682" s="25">
        <v>4197</v>
      </c>
      <c r="B3682" s="25" t="s">
        <v>58</v>
      </c>
      <c r="C3682" s="25" t="s">
        <v>300</v>
      </c>
      <c r="D3682" s="25">
        <v>1</v>
      </c>
      <c r="E3682" s="25" t="s">
        <v>17</v>
      </c>
      <c r="F3682" s="38">
        <v>27380</v>
      </c>
      <c r="G3682" s="38" t="s">
        <v>667</v>
      </c>
      <c r="H3682" s="25" t="str">
        <f t="shared" si="118"/>
        <v>平成6年9月14日</v>
      </c>
      <c r="I3682" s="22">
        <f t="shared" si="119"/>
        <v>34591</v>
      </c>
      <c r="J3682" s="1" t="str">
        <f>"00745187"</f>
        <v>00745187</v>
      </c>
      <c r="K3682" s="1" t="str">
        <f>"３９１　　　　　　　　　　　　　　　　　"</f>
        <v>３９１　　　　　　　　　　　　　　　　　</v>
      </c>
      <c r="L3682" s="1"/>
    </row>
    <row r="3683" spans="1:12" ht="18" customHeight="1" x14ac:dyDescent="0.15">
      <c r="A3683" s="25">
        <v>4198</v>
      </c>
      <c r="B3683" s="25" t="s">
        <v>58</v>
      </c>
      <c r="C3683" s="25" t="s">
        <v>300</v>
      </c>
      <c r="D3683" s="25">
        <v>1</v>
      </c>
      <c r="E3683" s="25" t="s">
        <v>17</v>
      </c>
      <c r="F3683" s="38">
        <v>27380</v>
      </c>
      <c r="G3683" s="38" t="s">
        <v>667</v>
      </c>
      <c r="H3683" s="25" t="str">
        <f t="shared" si="118"/>
        <v>平成6年9月14日</v>
      </c>
      <c r="I3683" s="22">
        <f t="shared" si="119"/>
        <v>34591</v>
      </c>
      <c r="J3683" s="1" t="str">
        <f>"00745189"</f>
        <v>00745189</v>
      </c>
      <c r="K3683" s="1" t="str">
        <f>"３９２　　　　　　　　　　　　　　　　　"</f>
        <v>３９２　　　　　　　　　　　　　　　　　</v>
      </c>
      <c r="L3683" s="1"/>
    </row>
    <row r="3684" spans="1:12" ht="18" customHeight="1" x14ac:dyDescent="0.15">
      <c r="A3684" s="25">
        <v>4199</v>
      </c>
      <c r="B3684" s="25" t="s">
        <v>58</v>
      </c>
      <c r="C3684" s="25" t="s">
        <v>300</v>
      </c>
      <c r="D3684" s="25">
        <v>1</v>
      </c>
      <c r="E3684" s="25" t="s">
        <v>17</v>
      </c>
      <c r="F3684" s="38">
        <v>27380</v>
      </c>
      <c r="G3684" s="38" t="s">
        <v>667</v>
      </c>
      <c r="H3684" s="25" t="str">
        <f t="shared" si="118"/>
        <v>平成6年9月14日</v>
      </c>
      <c r="I3684" s="22">
        <f t="shared" si="119"/>
        <v>34591</v>
      </c>
      <c r="J3684" s="1" t="str">
        <f>"00745191"</f>
        <v>00745191</v>
      </c>
      <c r="K3684" s="1" t="str">
        <f>"３９３　　　　　　　　　　　　　　　　　"</f>
        <v>３９３　　　　　　　　　　　　　　　　　</v>
      </c>
      <c r="L3684" s="1"/>
    </row>
    <row r="3685" spans="1:12" ht="18" customHeight="1" x14ac:dyDescent="0.15">
      <c r="A3685" s="25">
        <v>4200</v>
      </c>
      <c r="B3685" s="25" t="s">
        <v>58</v>
      </c>
      <c r="C3685" s="25" t="s">
        <v>300</v>
      </c>
      <c r="D3685" s="25">
        <v>1</v>
      </c>
      <c r="E3685" s="25" t="s">
        <v>17</v>
      </c>
      <c r="F3685" s="38">
        <v>27380</v>
      </c>
      <c r="G3685" s="38" t="s">
        <v>667</v>
      </c>
      <c r="H3685" s="25" t="str">
        <f t="shared" si="118"/>
        <v>平成6年9月14日</v>
      </c>
      <c r="I3685" s="22">
        <f t="shared" si="119"/>
        <v>34591</v>
      </c>
      <c r="J3685" s="1" t="str">
        <f>"00745193"</f>
        <v>00745193</v>
      </c>
      <c r="K3685" s="1" t="str">
        <f>"３９４　　　　　　　　　　　　　　　　　"</f>
        <v>３９４　　　　　　　　　　　　　　　　　</v>
      </c>
      <c r="L3685" s="1"/>
    </row>
    <row r="3686" spans="1:12" ht="18" customHeight="1" x14ac:dyDescent="0.15">
      <c r="A3686" s="25">
        <v>4201</v>
      </c>
      <c r="B3686" s="25" t="s">
        <v>58</v>
      </c>
      <c r="C3686" s="25" t="s">
        <v>300</v>
      </c>
      <c r="D3686" s="25">
        <v>1</v>
      </c>
      <c r="E3686" s="25" t="s">
        <v>17</v>
      </c>
      <c r="F3686" s="38">
        <v>27380</v>
      </c>
      <c r="G3686" s="38" t="s">
        <v>667</v>
      </c>
      <c r="H3686" s="25" t="str">
        <f t="shared" si="118"/>
        <v>平成6年9月14日</v>
      </c>
      <c r="I3686" s="22">
        <f t="shared" si="119"/>
        <v>34591</v>
      </c>
      <c r="J3686" s="1" t="str">
        <f>"00745195"</f>
        <v>00745195</v>
      </c>
      <c r="K3686" s="1" t="str">
        <f>"３９５　　　　　　　　　　　　　　　　　"</f>
        <v>３９５　　　　　　　　　　　　　　　　　</v>
      </c>
      <c r="L3686" s="1"/>
    </row>
    <row r="3687" spans="1:12" ht="18" customHeight="1" x14ac:dyDescent="0.15">
      <c r="A3687" s="25">
        <v>4202</v>
      </c>
      <c r="B3687" s="25" t="s">
        <v>58</v>
      </c>
      <c r="C3687" s="25" t="s">
        <v>300</v>
      </c>
      <c r="D3687" s="25">
        <v>1</v>
      </c>
      <c r="E3687" s="25" t="s">
        <v>17</v>
      </c>
      <c r="F3687" s="38">
        <v>27380</v>
      </c>
      <c r="G3687" s="38" t="s">
        <v>667</v>
      </c>
      <c r="H3687" s="25" t="str">
        <f t="shared" si="118"/>
        <v>平成6年9月14日</v>
      </c>
      <c r="I3687" s="22">
        <f t="shared" si="119"/>
        <v>34591</v>
      </c>
      <c r="J3687" s="1" t="str">
        <f>"00745197"</f>
        <v>00745197</v>
      </c>
      <c r="K3687" s="1" t="str">
        <f>"３９６　　　　　　　　　　　　　　　　　"</f>
        <v>３９６　　　　　　　　　　　　　　　　　</v>
      </c>
      <c r="L3687" s="1"/>
    </row>
    <row r="3688" spans="1:12" ht="18" customHeight="1" x14ac:dyDescent="0.15">
      <c r="A3688" s="11">
        <v>4226</v>
      </c>
      <c r="B3688" s="11" t="s">
        <v>303</v>
      </c>
      <c r="C3688" s="11" t="s">
        <v>308</v>
      </c>
      <c r="D3688" s="11">
        <v>1</v>
      </c>
      <c r="E3688" s="11" t="s">
        <v>17</v>
      </c>
      <c r="F3688" s="12">
        <v>260384</v>
      </c>
      <c r="G3688" s="55">
        <v>260384</v>
      </c>
      <c r="H3688" s="25" t="str">
        <f t="shared" si="118"/>
        <v>平成6年9月14日</v>
      </c>
      <c r="I3688" s="22">
        <f t="shared" si="119"/>
        <v>34591</v>
      </c>
      <c r="J3688" s="1" t="str">
        <f>"00745245"</f>
        <v>00745245</v>
      </c>
      <c r="K3688" s="1" t="str">
        <f>"３０９　　　　　　　　　　　　　　　　　"</f>
        <v>３０９　　　　　　　　　　　　　　　　　</v>
      </c>
      <c r="L3688" s="1"/>
    </row>
    <row r="3689" spans="1:12" ht="18" customHeight="1" x14ac:dyDescent="0.15">
      <c r="A3689" s="11">
        <v>4227</v>
      </c>
      <c r="B3689" s="11" t="s">
        <v>303</v>
      </c>
      <c r="C3689" s="11" t="s">
        <v>308</v>
      </c>
      <c r="D3689" s="11">
        <v>1</v>
      </c>
      <c r="E3689" s="11" t="s">
        <v>17</v>
      </c>
      <c r="F3689" s="12">
        <v>260384</v>
      </c>
      <c r="G3689" s="55">
        <v>260384</v>
      </c>
      <c r="H3689" s="25" t="str">
        <f t="shared" si="118"/>
        <v>平成6年9月14日</v>
      </c>
      <c r="I3689" s="22">
        <f t="shared" si="119"/>
        <v>34591</v>
      </c>
      <c r="J3689" s="1" t="str">
        <f>"00745247"</f>
        <v>00745247</v>
      </c>
      <c r="K3689" s="1" t="str">
        <f>"３１０　　　　　　　　　　　　　　　　　"</f>
        <v>３１０　　　　　　　　　　　　　　　　　</v>
      </c>
      <c r="L3689" s="1"/>
    </row>
    <row r="3690" spans="1:12" ht="18" customHeight="1" x14ac:dyDescent="0.15">
      <c r="A3690" s="13">
        <v>4251</v>
      </c>
      <c r="B3690" s="13" t="s">
        <v>312</v>
      </c>
      <c r="C3690" s="13" t="s">
        <v>313</v>
      </c>
      <c r="D3690" s="13">
        <v>1</v>
      </c>
      <c r="E3690" s="13" t="s">
        <v>4</v>
      </c>
      <c r="F3690" s="14">
        <v>684000</v>
      </c>
      <c r="G3690" s="14" t="s">
        <v>667</v>
      </c>
      <c r="H3690" s="13" t="str">
        <f t="shared" si="118"/>
        <v>平成6年9月14日</v>
      </c>
      <c r="I3690" s="22">
        <f t="shared" si="119"/>
        <v>34591</v>
      </c>
      <c r="J3690" s="10" t="str">
        <f>"00745295"</f>
        <v>00745295</v>
      </c>
      <c r="K3690" s="10" t="str">
        <f>"３０１の１　　　　　　　　　　　　　　　"</f>
        <v>３０１の１　　　　　　　　　　　　　　　</v>
      </c>
      <c r="L3690" s="10" t="s">
        <v>651</v>
      </c>
    </row>
    <row r="3691" spans="1:12" ht="18" customHeight="1" x14ac:dyDescent="0.15">
      <c r="A3691" s="25">
        <v>4253</v>
      </c>
      <c r="B3691" s="25" t="s">
        <v>312</v>
      </c>
      <c r="C3691" s="25" t="s">
        <v>313</v>
      </c>
      <c r="D3691" s="25">
        <v>1</v>
      </c>
      <c r="E3691" s="25" t="s">
        <v>4</v>
      </c>
      <c r="F3691" s="38">
        <v>684000</v>
      </c>
      <c r="G3691" s="38" t="s">
        <v>667</v>
      </c>
      <c r="H3691" s="25" t="str">
        <f t="shared" si="118"/>
        <v>平成6年9月14日</v>
      </c>
      <c r="I3691" s="22">
        <f t="shared" si="119"/>
        <v>34591</v>
      </c>
      <c r="J3691" s="1" t="str">
        <f>"00745299"</f>
        <v>00745299</v>
      </c>
      <c r="K3691" s="1" t="str">
        <f>"３０１の３　　　　　　　　　　　　　　　"</f>
        <v>３０１の３　　　　　　　　　　　　　　　</v>
      </c>
      <c r="L3691" s="1"/>
    </row>
    <row r="3692" spans="1:12" s="49" customFormat="1" ht="18" customHeight="1" x14ac:dyDescent="0.15">
      <c r="A3692" s="11">
        <v>4270</v>
      </c>
      <c r="B3692" s="11" t="s">
        <v>319</v>
      </c>
      <c r="C3692" s="11" t="s">
        <v>320</v>
      </c>
      <c r="D3692" s="11">
        <v>1</v>
      </c>
      <c r="E3692" s="11" t="s">
        <v>17</v>
      </c>
      <c r="F3692" s="12">
        <v>466000</v>
      </c>
      <c r="G3692" s="55">
        <v>466000</v>
      </c>
      <c r="H3692" s="25" t="str">
        <f t="shared" si="118"/>
        <v>平成6年9月14日</v>
      </c>
      <c r="I3692" s="39">
        <f t="shared" si="119"/>
        <v>34591</v>
      </c>
      <c r="J3692" s="25" t="str">
        <f>"00745385"</f>
        <v>00745385</v>
      </c>
      <c r="K3692" s="25" t="str">
        <f>"３０１　　　　　　　　　　　　　　　　　"</f>
        <v>３０１　　　　　　　　　　　　　　　　　</v>
      </c>
      <c r="L3692" s="25"/>
    </row>
    <row r="3693" spans="1:12" ht="18" customHeight="1" x14ac:dyDescent="0.15">
      <c r="A3693" s="25">
        <v>4285</v>
      </c>
      <c r="B3693" s="25" t="s">
        <v>321</v>
      </c>
      <c r="C3693" s="25" t="s">
        <v>328</v>
      </c>
      <c r="D3693" s="25">
        <v>1</v>
      </c>
      <c r="E3693" s="25" t="s">
        <v>17</v>
      </c>
      <c r="F3693" s="38">
        <v>148000</v>
      </c>
      <c r="G3693" s="38" t="s">
        <v>667</v>
      </c>
      <c r="H3693" s="25" t="str">
        <f t="shared" si="118"/>
        <v>平成6年9月14日</v>
      </c>
      <c r="I3693" s="22">
        <f t="shared" si="119"/>
        <v>34591</v>
      </c>
      <c r="J3693" s="1" t="str">
        <f>"00745414"</f>
        <v>00745414</v>
      </c>
      <c r="K3693" s="1" t="str">
        <f>"３１５　　　　　　　　　　　　　　　　　"</f>
        <v>３１５　　　　　　　　　　　　　　　　　</v>
      </c>
      <c r="L3693" s="1"/>
    </row>
    <row r="3694" spans="1:12" ht="18" customHeight="1" x14ac:dyDescent="0.15">
      <c r="A3694" s="25">
        <v>4286</v>
      </c>
      <c r="B3694" s="25" t="s">
        <v>321</v>
      </c>
      <c r="C3694" s="25" t="s">
        <v>328</v>
      </c>
      <c r="D3694" s="25">
        <v>1</v>
      </c>
      <c r="E3694" s="25" t="s">
        <v>17</v>
      </c>
      <c r="F3694" s="38">
        <v>148000</v>
      </c>
      <c r="G3694" s="38" t="s">
        <v>667</v>
      </c>
      <c r="H3694" s="25" t="str">
        <f t="shared" si="118"/>
        <v>平成6年9月14日</v>
      </c>
      <c r="I3694" s="22">
        <f t="shared" si="119"/>
        <v>34591</v>
      </c>
      <c r="J3694" s="1" t="str">
        <f>"00745416"</f>
        <v>00745416</v>
      </c>
      <c r="K3694" s="1" t="str">
        <f>"３１６　　　　　　　　　　　　　　　　　"</f>
        <v>３１６　　　　　　　　　　　　　　　　　</v>
      </c>
      <c r="L3694" s="1"/>
    </row>
    <row r="3695" spans="1:12" ht="18" customHeight="1" x14ac:dyDescent="0.15">
      <c r="A3695" s="25">
        <v>4287</v>
      </c>
      <c r="B3695" s="25" t="s">
        <v>321</v>
      </c>
      <c r="C3695" s="25" t="s">
        <v>328</v>
      </c>
      <c r="D3695" s="25">
        <v>1</v>
      </c>
      <c r="E3695" s="25" t="s">
        <v>17</v>
      </c>
      <c r="F3695" s="38">
        <v>148000</v>
      </c>
      <c r="G3695" s="38" t="s">
        <v>667</v>
      </c>
      <c r="H3695" s="25" t="str">
        <f t="shared" si="118"/>
        <v>平成6年9月14日</v>
      </c>
      <c r="I3695" s="22">
        <f t="shared" si="119"/>
        <v>34591</v>
      </c>
      <c r="J3695" s="1" t="str">
        <f>"00745418"</f>
        <v>00745418</v>
      </c>
      <c r="K3695" s="1" t="str">
        <f>"３１７　　　　　　　　　　　　　　　　　"</f>
        <v>３１７　　　　　　　　　　　　　　　　　</v>
      </c>
      <c r="L3695" s="1"/>
    </row>
    <row r="3696" spans="1:12" ht="18" customHeight="1" x14ac:dyDescent="0.15">
      <c r="A3696" s="25">
        <v>4288</v>
      </c>
      <c r="B3696" s="25" t="s">
        <v>321</v>
      </c>
      <c r="C3696" s="25" t="s">
        <v>329</v>
      </c>
      <c r="D3696" s="25">
        <v>1</v>
      </c>
      <c r="E3696" s="25" t="s">
        <v>17</v>
      </c>
      <c r="F3696" s="38">
        <v>250000</v>
      </c>
      <c r="G3696" s="38" t="s">
        <v>667</v>
      </c>
      <c r="H3696" s="25" t="str">
        <f t="shared" si="118"/>
        <v>平成6年9月14日</v>
      </c>
      <c r="I3696" s="22">
        <f t="shared" si="119"/>
        <v>34591</v>
      </c>
      <c r="J3696" s="1" t="str">
        <f>"00745420"</f>
        <v>00745420</v>
      </c>
      <c r="K3696" s="1" t="str">
        <f>"３１８　　　　　　　　　　　　　　　　　"</f>
        <v>３１８　　　　　　　　　　　　　　　　　</v>
      </c>
      <c r="L3696" s="1"/>
    </row>
    <row r="3697" spans="1:12" ht="18" customHeight="1" x14ac:dyDescent="0.15">
      <c r="A3697" s="25">
        <v>4289</v>
      </c>
      <c r="B3697" s="25" t="s">
        <v>321</v>
      </c>
      <c r="C3697" s="25" t="s">
        <v>329</v>
      </c>
      <c r="D3697" s="25">
        <v>1</v>
      </c>
      <c r="E3697" s="25" t="s">
        <v>17</v>
      </c>
      <c r="F3697" s="38">
        <v>250000</v>
      </c>
      <c r="G3697" s="38" t="s">
        <v>667</v>
      </c>
      <c r="H3697" s="25" t="str">
        <f t="shared" si="118"/>
        <v>平成6年9月14日</v>
      </c>
      <c r="I3697" s="22">
        <f t="shared" si="119"/>
        <v>34591</v>
      </c>
      <c r="J3697" s="1" t="str">
        <f>"00745423"</f>
        <v>00745423</v>
      </c>
      <c r="K3697" s="1" t="str">
        <f>"３１９　　　　　　　　　　　　　　　　　"</f>
        <v>３１９　　　　　　　　　　　　　　　　　</v>
      </c>
      <c r="L3697" s="1"/>
    </row>
    <row r="3698" spans="1:12" ht="18" customHeight="1" x14ac:dyDescent="0.15">
      <c r="A3698" s="25">
        <v>4290</v>
      </c>
      <c r="B3698" s="25" t="s">
        <v>321</v>
      </c>
      <c r="C3698" s="25" t="s">
        <v>329</v>
      </c>
      <c r="D3698" s="25">
        <v>1</v>
      </c>
      <c r="E3698" s="25" t="s">
        <v>17</v>
      </c>
      <c r="F3698" s="38">
        <v>250000</v>
      </c>
      <c r="G3698" s="38" t="s">
        <v>667</v>
      </c>
      <c r="H3698" s="25" t="str">
        <f t="shared" si="118"/>
        <v>平成6年9月14日</v>
      </c>
      <c r="I3698" s="22">
        <f t="shared" si="119"/>
        <v>34591</v>
      </c>
      <c r="J3698" s="1" t="str">
        <f>"00745425"</f>
        <v>00745425</v>
      </c>
      <c r="K3698" s="1" t="str">
        <f>"３２０　　　　　　　　　　　　　　　　　"</f>
        <v>３２０　　　　　　　　　　　　　　　　　</v>
      </c>
      <c r="L3698" s="1"/>
    </row>
    <row r="3699" spans="1:12" ht="18" customHeight="1" x14ac:dyDescent="0.15">
      <c r="A3699" s="25">
        <v>4291</v>
      </c>
      <c r="B3699" s="25" t="s">
        <v>321</v>
      </c>
      <c r="C3699" s="25" t="s">
        <v>329</v>
      </c>
      <c r="D3699" s="25">
        <v>1</v>
      </c>
      <c r="E3699" s="25" t="s">
        <v>17</v>
      </c>
      <c r="F3699" s="38">
        <v>250000</v>
      </c>
      <c r="G3699" s="38" t="s">
        <v>667</v>
      </c>
      <c r="H3699" s="25" t="str">
        <f t="shared" si="118"/>
        <v>平成6年9月14日</v>
      </c>
      <c r="I3699" s="22">
        <f t="shared" si="119"/>
        <v>34591</v>
      </c>
      <c r="J3699" s="1" t="str">
        <f>"00745427"</f>
        <v>00745427</v>
      </c>
      <c r="K3699" s="1" t="str">
        <f>"３２１　　　　　　　　　　　　　　　　　"</f>
        <v>３２１　　　　　　　　　　　　　　　　　</v>
      </c>
      <c r="L3699" s="1"/>
    </row>
    <row r="3700" spans="1:12" ht="18" customHeight="1" x14ac:dyDescent="0.15">
      <c r="A3700" s="25">
        <v>4292</v>
      </c>
      <c r="B3700" s="25" t="s">
        <v>321</v>
      </c>
      <c r="C3700" s="25" t="s">
        <v>329</v>
      </c>
      <c r="D3700" s="25">
        <v>1</v>
      </c>
      <c r="E3700" s="25" t="s">
        <v>17</v>
      </c>
      <c r="F3700" s="38">
        <v>85000</v>
      </c>
      <c r="G3700" s="38" t="s">
        <v>667</v>
      </c>
      <c r="H3700" s="25" t="str">
        <f t="shared" si="118"/>
        <v>平成6年9月14日</v>
      </c>
      <c r="I3700" s="22">
        <f t="shared" si="119"/>
        <v>34591</v>
      </c>
      <c r="J3700" s="1" t="str">
        <f>"00745429"</f>
        <v>00745429</v>
      </c>
      <c r="K3700" s="1" t="str">
        <f>"３２２　　　　　　　　　　　　　　　　　"</f>
        <v>３２２　　　　　　　　　　　　　　　　　</v>
      </c>
      <c r="L3700" s="1"/>
    </row>
    <row r="3701" spans="1:12" ht="18" customHeight="1" x14ac:dyDescent="0.15">
      <c r="A3701" s="25">
        <v>4293</v>
      </c>
      <c r="B3701" s="25" t="s">
        <v>321</v>
      </c>
      <c r="C3701" s="25" t="s">
        <v>329</v>
      </c>
      <c r="D3701" s="25">
        <v>1</v>
      </c>
      <c r="E3701" s="25" t="s">
        <v>17</v>
      </c>
      <c r="F3701" s="38">
        <v>85000</v>
      </c>
      <c r="G3701" s="38" t="s">
        <v>667</v>
      </c>
      <c r="H3701" s="25" t="str">
        <f t="shared" si="118"/>
        <v>平成6年9月14日</v>
      </c>
      <c r="I3701" s="22">
        <f t="shared" si="119"/>
        <v>34591</v>
      </c>
      <c r="J3701" s="1" t="str">
        <f>"00745430"</f>
        <v>00745430</v>
      </c>
      <c r="K3701" s="1" t="str">
        <f>"３２３　　　　　　　　　　　　　　　　　"</f>
        <v>３２３　　　　　　　　　　　　　　　　　</v>
      </c>
      <c r="L3701" s="1"/>
    </row>
    <row r="3702" spans="1:12" ht="18" customHeight="1" x14ac:dyDescent="0.15">
      <c r="A3702" s="25">
        <v>4294</v>
      </c>
      <c r="B3702" s="25" t="s">
        <v>321</v>
      </c>
      <c r="C3702" s="25" t="s">
        <v>329</v>
      </c>
      <c r="D3702" s="25">
        <v>1</v>
      </c>
      <c r="E3702" s="25" t="s">
        <v>17</v>
      </c>
      <c r="F3702" s="38">
        <v>85000</v>
      </c>
      <c r="G3702" s="38" t="s">
        <v>667</v>
      </c>
      <c r="H3702" s="25" t="str">
        <f t="shared" si="118"/>
        <v>平成6年9月14日</v>
      </c>
      <c r="I3702" s="22">
        <f t="shared" si="119"/>
        <v>34591</v>
      </c>
      <c r="J3702" s="1" t="str">
        <f>"00745432"</f>
        <v>00745432</v>
      </c>
      <c r="K3702" s="1" t="str">
        <f>"３２４　　　　　　　　　　　　　　　　　"</f>
        <v>３２４　　　　　　　　　　　　　　　　　</v>
      </c>
      <c r="L3702" s="1"/>
    </row>
    <row r="3703" spans="1:12" ht="18" customHeight="1" x14ac:dyDescent="0.15">
      <c r="A3703" s="25">
        <v>4295</v>
      </c>
      <c r="B3703" s="25" t="s">
        <v>321</v>
      </c>
      <c r="C3703" s="25" t="s">
        <v>329</v>
      </c>
      <c r="D3703" s="25">
        <v>1</v>
      </c>
      <c r="E3703" s="25" t="s">
        <v>17</v>
      </c>
      <c r="F3703" s="38">
        <v>85000</v>
      </c>
      <c r="G3703" s="38" t="s">
        <v>667</v>
      </c>
      <c r="H3703" s="25" t="str">
        <f t="shared" si="118"/>
        <v>平成6年9月14日</v>
      </c>
      <c r="I3703" s="22">
        <f t="shared" si="119"/>
        <v>34591</v>
      </c>
      <c r="J3703" s="1" t="str">
        <f>"00745434"</f>
        <v>00745434</v>
      </c>
      <c r="K3703" s="1" t="str">
        <f>"３２５　　　　　　　　　　　　　　　　　"</f>
        <v>３２５　　　　　　　　　　　　　　　　　</v>
      </c>
      <c r="L3703" s="1"/>
    </row>
    <row r="3704" spans="1:12" ht="18" customHeight="1" x14ac:dyDescent="0.15">
      <c r="A3704" s="25">
        <v>4296</v>
      </c>
      <c r="B3704" s="25" t="s">
        <v>330</v>
      </c>
      <c r="C3704" s="25" t="s">
        <v>331</v>
      </c>
      <c r="D3704" s="25">
        <v>1</v>
      </c>
      <c r="E3704" s="25" t="s">
        <v>4</v>
      </c>
      <c r="F3704" s="38">
        <v>25235</v>
      </c>
      <c r="G3704" s="38" t="s">
        <v>667</v>
      </c>
      <c r="H3704" s="25" t="str">
        <f t="shared" si="118"/>
        <v>平成6年9月14日</v>
      </c>
      <c r="I3704" s="22">
        <f t="shared" si="119"/>
        <v>34591</v>
      </c>
      <c r="J3704" s="1" t="str">
        <f>"00745438"</f>
        <v>00745438</v>
      </c>
      <c r="K3704" s="1" t="str">
        <f>"３０２　　　　　　　　　　　　　　　　　"</f>
        <v>３０２　　　　　　　　　　　　　　　　　</v>
      </c>
      <c r="L3704" s="1"/>
    </row>
    <row r="3705" spans="1:12" ht="18" customHeight="1" x14ac:dyDescent="0.15">
      <c r="A3705" s="25">
        <v>4297</v>
      </c>
      <c r="B3705" s="25" t="s">
        <v>330</v>
      </c>
      <c r="C3705" s="25" t="s">
        <v>331</v>
      </c>
      <c r="D3705" s="25">
        <v>1</v>
      </c>
      <c r="E3705" s="25" t="s">
        <v>4</v>
      </c>
      <c r="F3705" s="38">
        <v>25235</v>
      </c>
      <c r="G3705" s="38" t="s">
        <v>667</v>
      </c>
      <c r="H3705" s="25" t="str">
        <f t="shared" si="118"/>
        <v>平成6年9月14日</v>
      </c>
      <c r="I3705" s="22">
        <f t="shared" si="119"/>
        <v>34591</v>
      </c>
      <c r="J3705" s="1" t="str">
        <f>"00745440"</f>
        <v>00745440</v>
      </c>
      <c r="K3705" s="1" t="str">
        <f>"３０３　　　　　　　　　　　　　　　　　"</f>
        <v>３０３　　　　　　　　　　　　　　　　　</v>
      </c>
      <c r="L3705" s="1"/>
    </row>
    <row r="3706" spans="1:12" ht="18" customHeight="1" x14ac:dyDescent="0.15">
      <c r="A3706" s="25">
        <v>4298</v>
      </c>
      <c r="B3706" s="25" t="s">
        <v>330</v>
      </c>
      <c r="C3706" s="25" t="s">
        <v>331</v>
      </c>
      <c r="D3706" s="25">
        <v>1</v>
      </c>
      <c r="E3706" s="25" t="s">
        <v>4</v>
      </c>
      <c r="F3706" s="38">
        <v>25235</v>
      </c>
      <c r="G3706" s="38" t="s">
        <v>667</v>
      </c>
      <c r="H3706" s="25" t="str">
        <f t="shared" si="118"/>
        <v>平成6年9月14日</v>
      </c>
      <c r="I3706" s="22">
        <f t="shared" si="119"/>
        <v>34591</v>
      </c>
      <c r="J3706" s="1" t="str">
        <f>"00745443"</f>
        <v>00745443</v>
      </c>
      <c r="K3706" s="1" t="str">
        <f>"３０４　　　　　　　　　　　　　　　　　"</f>
        <v>３０４　　　　　　　　　　　　　　　　　</v>
      </c>
      <c r="L3706" s="1"/>
    </row>
    <row r="3707" spans="1:12" ht="18" customHeight="1" x14ac:dyDescent="0.15">
      <c r="A3707" s="25">
        <v>4299</v>
      </c>
      <c r="B3707" s="25" t="s">
        <v>330</v>
      </c>
      <c r="C3707" s="25" t="s">
        <v>331</v>
      </c>
      <c r="D3707" s="25">
        <v>1</v>
      </c>
      <c r="E3707" s="25" t="s">
        <v>4</v>
      </c>
      <c r="F3707" s="38">
        <v>25235</v>
      </c>
      <c r="G3707" s="38" t="s">
        <v>667</v>
      </c>
      <c r="H3707" s="25" t="str">
        <f t="shared" si="118"/>
        <v>平成6年9月14日</v>
      </c>
      <c r="I3707" s="22">
        <f t="shared" si="119"/>
        <v>34591</v>
      </c>
      <c r="J3707" s="1" t="str">
        <f>"00745444"</f>
        <v>00745444</v>
      </c>
      <c r="K3707" s="1" t="str">
        <f>"３０５　　　　　　　　　　　　　　　　　"</f>
        <v>３０５　　　　　　　　　　　　　　　　　</v>
      </c>
      <c r="L3707" s="1"/>
    </row>
    <row r="3708" spans="1:12" ht="18" customHeight="1" x14ac:dyDescent="0.15">
      <c r="A3708" s="25">
        <v>4300</v>
      </c>
      <c r="B3708" s="25" t="s">
        <v>330</v>
      </c>
      <c r="C3708" s="25" t="s">
        <v>331</v>
      </c>
      <c r="D3708" s="25">
        <v>1</v>
      </c>
      <c r="E3708" s="25" t="s">
        <v>4</v>
      </c>
      <c r="F3708" s="38">
        <v>25235</v>
      </c>
      <c r="G3708" s="38" t="s">
        <v>667</v>
      </c>
      <c r="H3708" s="25" t="str">
        <f t="shared" si="118"/>
        <v>平成6年9月14日</v>
      </c>
      <c r="I3708" s="22">
        <f t="shared" si="119"/>
        <v>34591</v>
      </c>
      <c r="J3708" s="1" t="str">
        <f>"00745447"</f>
        <v>00745447</v>
      </c>
      <c r="K3708" s="1" t="str">
        <f>"３０６　　　　　　　　　　　　　　　　　"</f>
        <v>３０６　　　　　　　　　　　　　　　　　</v>
      </c>
      <c r="L3708" s="1"/>
    </row>
    <row r="3709" spans="1:12" ht="18" customHeight="1" x14ac:dyDescent="0.15">
      <c r="A3709" s="25">
        <v>4301</v>
      </c>
      <c r="B3709" s="25" t="s">
        <v>330</v>
      </c>
      <c r="C3709" s="25" t="s">
        <v>331</v>
      </c>
      <c r="D3709" s="25">
        <v>1</v>
      </c>
      <c r="E3709" s="25" t="s">
        <v>4</v>
      </c>
      <c r="F3709" s="38">
        <v>25235</v>
      </c>
      <c r="G3709" s="38" t="s">
        <v>667</v>
      </c>
      <c r="H3709" s="25" t="str">
        <f t="shared" si="118"/>
        <v>平成6年9月14日</v>
      </c>
      <c r="I3709" s="22">
        <f t="shared" si="119"/>
        <v>34591</v>
      </c>
      <c r="J3709" s="1" t="str">
        <f>"00745449"</f>
        <v>00745449</v>
      </c>
      <c r="K3709" s="1" t="str">
        <f>"３０７　　　　　　　　　　　　　　　　　"</f>
        <v>３０７　　　　　　　　　　　　　　　　　</v>
      </c>
      <c r="L3709" s="1"/>
    </row>
    <row r="3710" spans="1:12" ht="18" customHeight="1" x14ac:dyDescent="0.15">
      <c r="A3710" s="25">
        <v>4302</v>
      </c>
      <c r="B3710" s="25" t="s">
        <v>330</v>
      </c>
      <c r="C3710" s="25" t="s">
        <v>331</v>
      </c>
      <c r="D3710" s="25">
        <v>1</v>
      </c>
      <c r="E3710" s="25" t="s">
        <v>4</v>
      </c>
      <c r="F3710" s="38">
        <v>25235</v>
      </c>
      <c r="G3710" s="38" t="s">
        <v>667</v>
      </c>
      <c r="H3710" s="25" t="str">
        <f t="shared" si="118"/>
        <v>平成6年9月14日</v>
      </c>
      <c r="I3710" s="22">
        <f t="shared" si="119"/>
        <v>34591</v>
      </c>
      <c r="J3710" s="1" t="str">
        <f>"00745451"</f>
        <v>00745451</v>
      </c>
      <c r="K3710" s="1" t="str">
        <f>"３０８　　　　　　　　　　　　　　　　　"</f>
        <v>３０８　　　　　　　　　　　　　　　　　</v>
      </c>
      <c r="L3710" s="1"/>
    </row>
    <row r="3711" spans="1:12" ht="18" customHeight="1" x14ac:dyDescent="0.15">
      <c r="A3711" s="25">
        <v>4303</v>
      </c>
      <c r="B3711" s="25" t="s">
        <v>330</v>
      </c>
      <c r="C3711" s="25" t="s">
        <v>331</v>
      </c>
      <c r="D3711" s="25">
        <v>1</v>
      </c>
      <c r="E3711" s="25" t="s">
        <v>4</v>
      </c>
      <c r="F3711" s="38">
        <v>25235</v>
      </c>
      <c r="G3711" s="38" t="s">
        <v>667</v>
      </c>
      <c r="H3711" s="25" t="str">
        <f t="shared" si="118"/>
        <v>平成6年9月14日</v>
      </c>
      <c r="I3711" s="22">
        <f t="shared" si="119"/>
        <v>34591</v>
      </c>
      <c r="J3711" s="1" t="str">
        <f>"00745453"</f>
        <v>00745453</v>
      </c>
      <c r="K3711" s="1" t="str">
        <f>"３０９　　　　　　　　　　　　　　　　　"</f>
        <v>３０９　　　　　　　　　　　　　　　　　</v>
      </c>
      <c r="L3711" s="1"/>
    </row>
    <row r="3712" spans="1:12" ht="18" customHeight="1" x14ac:dyDescent="0.15">
      <c r="A3712" s="25">
        <v>4304</v>
      </c>
      <c r="B3712" s="25" t="s">
        <v>330</v>
      </c>
      <c r="C3712" s="25" t="s">
        <v>331</v>
      </c>
      <c r="D3712" s="25">
        <v>1</v>
      </c>
      <c r="E3712" s="25" t="s">
        <v>4</v>
      </c>
      <c r="F3712" s="38">
        <v>25235</v>
      </c>
      <c r="G3712" s="38" t="s">
        <v>667</v>
      </c>
      <c r="H3712" s="25" t="str">
        <f t="shared" si="118"/>
        <v>平成6年9月14日</v>
      </c>
      <c r="I3712" s="22">
        <f t="shared" si="119"/>
        <v>34591</v>
      </c>
      <c r="J3712" s="1" t="str">
        <f>"00745455"</f>
        <v>00745455</v>
      </c>
      <c r="K3712" s="1" t="str">
        <f>"３１０　　　　　　　　　　　　　　　　　"</f>
        <v>３１０　　　　　　　　　　　　　　　　　</v>
      </c>
      <c r="L3712" s="1"/>
    </row>
    <row r="3713" spans="1:12" ht="18" customHeight="1" x14ac:dyDescent="0.15">
      <c r="A3713" s="25">
        <v>4305</v>
      </c>
      <c r="B3713" s="25" t="s">
        <v>330</v>
      </c>
      <c r="C3713" s="25" t="s">
        <v>331</v>
      </c>
      <c r="D3713" s="25">
        <v>1</v>
      </c>
      <c r="E3713" s="25" t="s">
        <v>4</v>
      </c>
      <c r="F3713" s="38">
        <v>25235</v>
      </c>
      <c r="G3713" s="38" t="s">
        <v>667</v>
      </c>
      <c r="H3713" s="25" t="str">
        <f t="shared" si="118"/>
        <v>平成6年9月14日</v>
      </c>
      <c r="I3713" s="22">
        <f t="shared" si="119"/>
        <v>34591</v>
      </c>
      <c r="J3713" s="1" t="str">
        <f>"00745457"</f>
        <v>00745457</v>
      </c>
      <c r="K3713" s="1" t="str">
        <f>"３１１　　　　　　　　　　　　　　　　　"</f>
        <v>３１１　　　　　　　　　　　　　　　　　</v>
      </c>
      <c r="L3713" s="1"/>
    </row>
    <row r="3714" spans="1:12" ht="18" customHeight="1" x14ac:dyDescent="0.15">
      <c r="A3714" s="25">
        <v>4306</v>
      </c>
      <c r="B3714" s="25" t="s">
        <v>330</v>
      </c>
      <c r="C3714" s="25" t="s">
        <v>332</v>
      </c>
      <c r="D3714" s="25">
        <v>1</v>
      </c>
      <c r="E3714" s="25" t="s">
        <v>4</v>
      </c>
      <c r="F3714" s="38">
        <v>25235</v>
      </c>
      <c r="G3714" s="38" t="s">
        <v>667</v>
      </c>
      <c r="H3714" s="25" t="str">
        <f t="shared" si="118"/>
        <v>平成6年9月14日</v>
      </c>
      <c r="I3714" s="22">
        <f t="shared" si="119"/>
        <v>34591</v>
      </c>
      <c r="J3714" s="1" t="str">
        <f>"00745459"</f>
        <v>00745459</v>
      </c>
      <c r="K3714" s="1" t="str">
        <f>"３１２　　　　　　　　　　　　　　　　　"</f>
        <v>３１２　　　　　　　　　　　　　　　　　</v>
      </c>
      <c r="L3714" s="1"/>
    </row>
    <row r="3715" spans="1:12" ht="18" customHeight="1" x14ac:dyDescent="0.15">
      <c r="A3715" s="25">
        <v>4307</v>
      </c>
      <c r="B3715" s="25" t="s">
        <v>330</v>
      </c>
      <c r="C3715" s="25" t="s">
        <v>332</v>
      </c>
      <c r="D3715" s="25">
        <v>1</v>
      </c>
      <c r="E3715" s="25" t="s">
        <v>4</v>
      </c>
      <c r="F3715" s="38">
        <v>25235</v>
      </c>
      <c r="G3715" s="38" t="s">
        <v>667</v>
      </c>
      <c r="H3715" s="25" t="str">
        <f t="shared" si="118"/>
        <v>平成6年9月14日</v>
      </c>
      <c r="I3715" s="22">
        <f t="shared" si="119"/>
        <v>34591</v>
      </c>
      <c r="J3715" s="1" t="str">
        <f>"00745461"</f>
        <v>00745461</v>
      </c>
      <c r="K3715" s="1" t="str">
        <f>"３１３　　　　　　　　　　　　　　　　　"</f>
        <v>３１３　　　　　　　　　　　　　　　　　</v>
      </c>
      <c r="L3715" s="1"/>
    </row>
    <row r="3716" spans="1:12" ht="18" customHeight="1" x14ac:dyDescent="0.15">
      <c r="A3716" s="25">
        <v>4308</v>
      </c>
      <c r="B3716" s="25" t="s">
        <v>330</v>
      </c>
      <c r="C3716" s="25" t="s">
        <v>332</v>
      </c>
      <c r="D3716" s="25">
        <v>1</v>
      </c>
      <c r="E3716" s="25" t="s">
        <v>4</v>
      </c>
      <c r="F3716" s="38">
        <v>25235</v>
      </c>
      <c r="G3716" s="38" t="s">
        <v>667</v>
      </c>
      <c r="H3716" s="25" t="str">
        <f t="shared" si="118"/>
        <v>平成6年9月14日</v>
      </c>
      <c r="I3716" s="22">
        <f t="shared" si="119"/>
        <v>34591</v>
      </c>
      <c r="J3716" s="1" t="str">
        <f>"00745463"</f>
        <v>00745463</v>
      </c>
      <c r="K3716" s="1" t="str">
        <f>"３１４　　　　　　　　　　　　　　　　　"</f>
        <v>３１４　　　　　　　　　　　　　　　　　</v>
      </c>
      <c r="L3716" s="1"/>
    </row>
    <row r="3717" spans="1:12" ht="18" customHeight="1" x14ac:dyDescent="0.15">
      <c r="A3717" s="25">
        <v>4309</v>
      </c>
      <c r="B3717" s="25" t="s">
        <v>330</v>
      </c>
      <c r="C3717" s="25" t="s">
        <v>332</v>
      </c>
      <c r="D3717" s="25">
        <v>1</v>
      </c>
      <c r="E3717" s="25" t="s">
        <v>4</v>
      </c>
      <c r="F3717" s="38">
        <v>25235</v>
      </c>
      <c r="G3717" s="38" t="s">
        <v>667</v>
      </c>
      <c r="H3717" s="25" t="str">
        <f t="shared" si="118"/>
        <v>平成6年9月14日</v>
      </c>
      <c r="I3717" s="22">
        <f t="shared" si="119"/>
        <v>34591</v>
      </c>
      <c r="J3717" s="1" t="str">
        <f>"00745465"</f>
        <v>00745465</v>
      </c>
      <c r="K3717" s="1" t="str">
        <f>"３１５　　　　　　　　　　　　　　　　　"</f>
        <v>３１５　　　　　　　　　　　　　　　　　</v>
      </c>
      <c r="L3717" s="1"/>
    </row>
    <row r="3718" spans="1:12" ht="18" customHeight="1" x14ac:dyDescent="0.15">
      <c r="A3718" s="25">
        <v>4310</v>
      </c>
      <c r="B3718" s="25" t="s">
        <v>330</v>
      </c>
      <c r="C3718" s="25" t="s">
        <v>333</v>
      </c>
      <c r="D3718" s="25">
        <v>1</v>
      </c>
      <c r="E3718" s="25" t="s">
        <v>4</v>
      </c>
      <c r="F3718" s="38">
        <v>43260</v>
      </c>
      <c r="G3718" s="38" t="s">
        <v>667</v>
      </c>
      <c r="H3718" s="25" t="str">
        <f t="shared" si="118"/>
        <v>平成6年9月14日</v>
      </c>
      <c r="I3718" s="22">
        <f t="shared" si="119"/>
        <v>34591</v>
      </c>
      <c r="J3718" s="1" t="str">
        <f>"00745467"</f>
        <v>00745467</v>
      </c>
      <c r="K3718" s="1" t="str">
        <f>"３１６　　　　　　　　　　　　　　　　　"</f>
        <v>３１６　　　　　　　　　　　　　　　　　</v>
      </c>
      <c r="L3718" s="1"/>
    </row>
    <row r="3719" spans="1:12" ht="18" customHeight="1" x14ac:dyDescent="0.15">
      <c r="A3719" s="25">
        <v>4311</v>
      </c>
      <c r="B3719" s="25" t="s">
        <v>330</v>
      </c>
      <c r="C3719" s="25" t="s">
        <v>333</v>
      </c>
      <c r="D3719" s="25">
        <v>1</v>
      </c>
      <c r="E3719" s="25" t="s">
        <v>4</v>
      </c>
      <c r="F3719" s="38">
        <v>43260</v>
      </c>
      <c r="G3719" s="38" t="s">
        <v>667</v>
      </c>
      <c r="H3719" s="25" t="str">
        <f t="shared" si="118"/>
        <v>平成6年9月14日</v>
      </c>
      <c r="I3719" s="22">
        <f t="shared" si="119"/>
        <v>34591</v>
      </c>
      <c r="J3719" s="1" t="str">
        <f>"00745469"</f>
        <v>00745469</v>
      </c>
      <c r="K3719" s="1" t="str">
        <f>"３１７　　　　　　　　　　　　　　　　　"</f>
        <v>３１７　　　　　　　　　　　　　　　　　</v>
      </c>
      <c r="L3719" s="1"/>
    </row>
    <row r="3720" spans="1:12" ht="18" customHeight="1" x14ac:dyDescent="0.15">
      <c r="A3720" s="25">
        <v>4312</v>
      </c>
      <c r="B3720" s="25" t="s">
        <v>330</v>
      </c>
      <c r="C3720" s="25" t="s">
        <v>333</v>
      </c>
      <c r="D3720" s="25">
        <v>1</v>
      </c>
      <c r="E3720" s="25" t="s">
        <v>4</v>
      </c>
      <c r="F3720" s="38">
        <v>43260</v>
      </c>
      <c r="G3720" s="38" t="s">
        <v>667</v>
      </c>
      <c r="H3720" s="25" t="str">
        <f t="shared" si="118"/>
        <v>平成6年9月14日</v>
      </c>
      <c r="I3720" s="22">
        <f t="shared" si="119"/>
        <v>34591</v>
      </c>
      <c r="J3720" s="1" t="str">
        <f>"00745470"</f>
        <v>00745470</v>
      </c>
      <c r="K3720" s="1" t="str">
        <f>"３１８　　　　　　　　　　　　　　　　　"</f>
        <v>３１８　　　　　　　　　　　　　　　　　</v>
      </c>
      <c r="L3720" s="1"/>
    </row>
    <row r="3721" spans="1:12" ht="18" customHeight="1" x14ac:dyDescent="0.15">
      <c r="A3721" s="25">
        <v>4313</v>
      </c>
      <c r="B3721" s="25" t="s">
        <v>330</v>
      </c>
      <c r="C3721" s="25" t="s">
        <v>333</v>
      </c>
      <c r="D3721" s="25">
        <v>1</v>
      </c>
      <c r="E3721" s="25" t="s">
        <v>4</v>
      </c>
      <c r="F3721" s="38">
        <v>43260</v>
      </c>
      <c r="G3721" s="38" t="s">
        <v>667</v>
      </c>
      <c r="H3721" s="25" t="str">
        <f t="shared" si="118"/>
        <v>平成6年9月14日</v>
      </c>
      <c r="I3721" s="22">
        <f t="shared" si="119"/>
        <v>34591</v>
      </c>
      <c r="J3721" s="1" t="str">
        <f>"00745473"</f>
        <v>00745473</v>
      </c>
      <c r="K3721" s="1" t="str">
        <f>"３１９　　　　　　　　　　　　　　　　　"</f>
        <v>３１９　　　　　　　　　　　　　　　　　</v>
      </c>
      <c r="L3721" s="1"/>
    </row>
    <row r="3722" spans="1:12" ht="18" customHeight="1" x14ac:dyDescent="0.15">
      <c r="A3722" s="25">
        <v>4314</v>
      </c>
      <c r="B3722" s="25" t="s">
        <v>330</v>
      </c>
      <c r="C3722" s="25" t="s">
        <v>333</v>
      </c>
      <c r="D3722" s="25">
        <v>1</v>
      </c>
      <c r="E3722" s="25" t="s">
        <v>4</v>
      </c>
      <c r="F3722" s="38">
        <v>43260</v>
      </c>
      <c r="G3722" s="38" t="s">
        <v>667</v>
      </c>
      <c r="H3722" s="25" t="str">
        <f t="shared" si="118"/>
        <v>平成6年9月14日</v>
      </c>
      <c r="I3722" s="22">
        <f t="shared" si="119"/>
        <v>34591</v>
      </c>
      <c r="J3722" s="1" t="str">
        <f>"00745474"</f>
        <v>00745474</v>
      </c>
      <c r="K3722" s="1" t="str">
        <f>"３２０　　　　　　　　　　　　　　　　　"</f>
        <v>３２０　　　　　　　　　　　　　　　　　</v>
      </c>
      <c r="L3722" s="1"/>
    </row>
    <row r="3723" spans="1:12" ht="18" customHeight="1" x14ac:dyDescent="0.15">
      <c r="A3723" s="25">
        <v>4315</v>
      </c>
      <c r="B3723" s="25" t="s">
        <v>330</v>
      </c>
      <c r="C3723" s="25" t="s">
        <v>333</v>
      </c>
      <c r="D3723" s="25">
        <v>1</v>
      </c>
      <c r="E3723" s="25" t="s">
        <v>4</v>
      </c>
      <c r="F3723" s="38">
        <v>43260</v>
      </c>
      <c r="G3723" s="38" t="s">
        <v>667</v>
      </c>
      <c r="H3723" s="25" t="str">
        <f t="shared" si="118"/>
        <v>平成6年9月14日</v>
      </c>
      <c r="I3723" s="22">
        <f t="shared" si="119"/>
        <v>34591</v>
      </c>
      <c r="J3723" s="1" t="str">
        <f>"00745476"</f>
        <v>00745476</v>
      </c>
      <c r="K3723" s="1" t="str">
        <f>"３２１　　　　　　　　　　　　　　　　　"</f>
        <v>３２１　　　　　　　　　　　　　　　　　</v>
      </c>
      <c r="L3723" s="1"/>
    </row>
    <row r="3724" spans="1:12" ht="18" customHeight="1" x14ac:dyDescent="0.15">
      <c r="A3724" s="25">
        <v>4316</v>
      </c>
      <c r="B3724" s="25" t="s">
        <v>330</v>
      </c>
      <c r="C3724" s="25" t="s">
        <v>333</v>
      </c>
      <c r="D3724" s="25">
        <v>1</v>
      </c>
      <c r="E3724" s="25" t="s">
        <v>4</v>
      </c>
      <c r="F3724" s="38">
        <v>43260</v>
      </c>
      <c r="G3724" s="38" t="s">
        <v>667</v>
      </c>
      <c r="H3724" s="25" t="str">
        <f t="shared" si="118"/>
        <v>平成6年9月14日</v>
      </c>
      <c r="I3724" s="22">
        <f t="shared" si="119"/>
        <v>34591</v>
      </c>
      <c r="J3724" s="1" t="str">
        <f>"00745479"</f>
        <v>00745479</v>
      </c>
      <c r="K3724" s="1" t="str">
        <f>"３２２　　　　　　　　　　　　　　　　　"</f>
        <v>３２２　　　　　　　　　　　　　　　　　</v>
      </c>
      <c r="L3724" s="1"/>
    </row>
    <row r="3725" spans="1:12" ht="18" customHeight="1" x14ac:dyDescent="0.15">
      <c r="A3725" s="25">
        <v>4317</v>
      </c>
      <c r="B3725" s="25" t="s">
        <v>330</v>
      </c>
      <c r="C3725" s="25" t="s">
        <v>333</v>
      </c>
      <c r="D3725" s="25">
        <v>1</v>
      </c>
      <c r="E3725" s="25" t="s">
        <v>4</v>
      </c>
      <c r="F3725" s="38">
        <v>43260</v>
      </c>
      <c r="G3725" s="38" t="s">
        <v>667</v>
      </c>
      <c r="H3725" s="25" t="str">
        <f t="shared" si="118"/>
        <v>平成6年9月14日</v>
      </c>
      <c r="I3725" s="22">
        <f t="shared" si="119"/>
        <v>34591</v>
      </c>
      <c r="J3725" s="1" t="str">
        <f>"00745481"</f>
        <v>00745481</v>
      </c>
      <c r="K3725" s="1" t="str">
        <f>"３２３　　　　　　　　　　　　　　　　　"</f>
        <v>３２３　　　　　　　　　　　　　　　　　</v>
      </c>
      <c r="L3725" s="1"/>
    </row>
    <row r="3726" spans="1:12" ht="18" customHeight="1" x14ac:dyDescent="0.15">
      <c r="A3726" s="25">
        <v>4318</v>
      </c>
      <c r="B3726" s="25" t="s">
        <v>330</v>
      </c>
      <c r="C3726" s="25" t="s">
        <v>333</v>
      </c>
      <c r="D3726" s="25">
        <v>1</v>
      </c>
      <c r="E3726" s="25" t="s">
        <v>4</v>
      </c>
      <c r="F3726" s="38">
        <v>43260</v>
      </c>
      <c r="G3726" s="38" t="s">
        <v>667</v>
      </c>
      <c r="H3726" s="25" t="str">
        <f t="shared" si="118"/>
        <v>平成6年9月14日</v>
      </c>
      <c r="I3726" s="22">
        <f t="shared" si="119"/>
        <v>34591</v>
      </c>
      <c r="J3726" s="1" t="str">
        <f>"00745483"</f>
        <v>00745483</v>
      </c>
      <c r="K3726" s="1" t="str">
        <f>"３２４　　　　　　　　　　　　　　　　　"</f>
        <v>３２４　　　　　　　　　　　　　　　　　</v>
      </c>
      <c r="L3726" s="1"/>
    </row>
    <row r="3727" spans="1:12" ht="18" customHeight="1" x14ac:dyDescent="0.15">
      <c r="A3727" s="25">
        <v>4319</v>
      </c>
      <c r="B3727" s="25" t="s">
        <v>330</v>
      </c>
      <c r="C3727" s="25" t="s">
        <v>333</v>
      </c>
      <c r="D3727" s="25">
        <v>1</v>
      </c>
      <c r="E3727" s="25" t="s">
        <v>4</v>
      </c>
      <c r="F3727" s="38">
        <v>43260</v>
      </c>
      <c r="G3727" s="38" t="s">
        <v>667</v>
      </c>
      <c r="H3727" s="25" t="str">
        <f t="shared" ref="H3727:H3790" si="120">"平成6年9月14日"</f>
        <v>平成6年9月14日</v>
      </c>
      <c r="I3727" s="22">
        <f t="shared" si="119"/>
        <v>34591</v>
      </c>
      <c r="J3727" s="1" t="str">
        <f>"00745485"</f>
        <v>00745485</v>
      </c>
      <c r="K3727" s="1" t="str">
        <f>"３２５　　　　　　　　　　　　　　　　　"</f>
        <v>３２５　　　　　　　　　　　　　　　　　</v>
      </c>
      <c r="L3727" s="1"/>
    </row>
    <row r="3728" spans="1:12" ht="18" customHeight="1" x14ac:dyDescent="0.15">
      <c r="A3728" s="25">
        <v>4320</v>
      </c>
      <c r="B3728" s="25" t="s">
        <v>330</v>
      </c>
      <c r="C3728" s="25" t="s">
        <v>333</v>
      </c>
      <c r="D3728" s="25">
        <v>1</v>
      </c>
      <c r="E3728" s="25" t="s">
        <v>4</v>
      </c>
      <c r="F3728" s="38">
        <v>43260</v>
      </c>
      <c r="G3728" s="38" t="s">
        <v>667</v>
      </c>
      <c r="H3728" s="25" t="str">
        <f t="shared" si="120"/>
        <v>平成6年9月14日</v>
      </c>
      <c r="I3728" s="22">
        <f t="shared" si="119"/>
        <v>34591</v>
      </c>
      <c r="J3728" s="1" t="str">
        <f>"00745487"</f>
        <v>00745487</v>
      </c>
      <c r="K3728" s="1" t="str">
        <f>"３２６　　　　　　　　　　　　　　　　　"</f>
        <v>３２６　　　　　　　　　　　　　　　　　</v>
      </c>
      <c r="L3728" s="1"/>
    </row>
    <row r="3729" spans="1:12" ht="18" customHeight="1" x14ac:dyDescent="0.15">
      <c r="A3729" s="25">
        <v>4321</v>
      </c>
      <c r="B3729" s="25" t="s">
        <v>330</v>
      </c>
      <c r="C3729" s="25" t="s">
        <v>333</v>
      </c>
      <c r="D3729" s="25">
        <v>1</v>
      </c>
      <c r="E3729" s="25" t="s">
        <v>4</v>
      </c>
      <c r="F3729" s="38">
        <v>43260</v>
      </c>
      <c r="G3729" s="38" t="s">
        <v>667</v>
      </c>
      <c r="H3729" s="25" t="str">
        <f t="shared" si="120"/>
        <v>平成6年9月14日</v>
      </c>
      <c r="I3729" s="22">
        <f t="shared" si="119"/>
        <v>34591</v>
      </c>
      <c r="J3729" s="1" t="str">
        <f>"00745489"</f>
        <v>00745489</v>
      </c>
      <c r="K3729" s="1" t="str">
        <f>"３２７　　　　　　　　　　　　　　　　　"</f>
        <v>３２７　　　　　　　　　　　　　　　　　</v>
      </c>
      <c r="L3729" s="1"/>
    </row>
    <row r="3730" spans="1:12" ht="18" customHeight="1" x14ac:dyDescent="0.15">
      <c r="A3730" s="25">
        <v>4322</v>
      </c>
      <c r="B3730" s="25" t="s">
        <v>330</v>
      </c>
      <c r="C3730" s="25" t="s">
        <v>333</v>
      </c>
      <c r="D3730" s="25">
        <v>1</v>
      </c>
      <c r="E3730" s="25" t="s">
        <v>4</v>
      </c>
      <c r="F3730" s="38">
        <v>43260</v>
      </c>
      <c r="G3730" s="38" t="s">
        <v>667</v>
      </c>
      <c r="H3730" s="25" t="str">
        <f t="shared" si="120"/>
        <v>平成6年9月14日</v>
      </c>
      <c r="I3730" s="22">
        <f t="shared" ref="I3730:I3793" si="121">DATEVALUE(H3730)</f>
        <v>34591</v>
      </c>
      <c r="J3730" s="1" t="str">
        <f>"00745491"</f>
        <v>00745491</v>
      </c>
      <c r="K3730" s="1" t="str">
        <f>"３２８　　　　　　　　　　　　　　　　　"</f>
        <v>３２８　　　　　　　　　　　　　　　　　</v>
      </c>
      <c r="L3730" s="1"/>
    </row>
    <row r="3731" spans="1:12" ht="18" customHeight="1" x14ac:dyDescent="0.15">
      <c r="A3731" s="25">
        <v>4323</v>
      </c>
      <c r="B3731" s="25" t="s">
        <v>330</v>
      </c>
      <c r="C3731" s="25" t="s">
        <v>333</v>
      </c>
      <c r="D3731" s="25">
        <v>1</v>
      </c>
      <c r="E3731" s="25" t="s">
        <v>4</v>
      </c>
      <c r="F3731" s="38">
        <v>43260</v>
      </c>
      <c r="G3731" s="38" t="s">
        <v>667</v>
      </c>
      <c r="H3731" s="25" t="str">
        <f t="shared" si="120"/>
        <v>平成6年9月14日</v>
      </c>
      <c r="I3731" s="22">
        <f t="shared" si="121"/>
        <v>34591</v>
      </c>
      <c r="J3731" s="1" t="str">
        <f>"00745493"</f>
        <v>00745493</v>
      </c>
      <c r="K3731" s="1" t="str">
        <f>"３２９　　　　　　　　　　　　　　　　　"</f>
        <v>３２９　　　　　　　　　　　　　　　　　</v>
      </c>
      <c r="L3731" s="1"/>
    </row>
    <row r="3732" spans="1:12" ht="18" customHeight="1" x14ac:dyDescent="0.15">
      <c r="A3732" s="25">
        <v>4324</v>
      </c>
      <c r="B3732" s="25" t="s">
        <v>330</v>
      </c>
      <c r="C3732" s="25" t="s">
        <v>333</v>
      </c>
      <c r="D3732" s="25">
        <v>1</v>
      </c>
      <c r="E3732" s="25" t="s">
        <v>4</v>
      </c>
      <c r="F3732" s="38">
        <v>43260</v>
      </c>
      <c r="G3732" s="38" t="s">
        <v>667</v>
      </c>
      <c r="H3732" s="25" t="str">
        <f t="shared" si="120"/>
        <v>平成6年9月14日</v>
      </c>
      <c r="I3732" s="22">
        <f t="shared" si="121"/>
        <v>34591</v>
      </c>
      <c r="J3732" s="1" t="str">
        <f>"00745495"</f>
        <v>00745495</v>
      </c>
      <c r="K3732" s="1" t="str">
        <f>"３３０　　　　　　　　　　　　　　　　　"</f>
        <v>３３０　　　　　　　　　　　　　　　　　</v>
      </c>
      <c r="L3732" s="1"/>
    </row>
    <row r="3733" spans="1:12" ht="18" customHeight="1" x14ac:dyDescent="0.15">
      <c r="A3733" s="25">
        <v>4325</v>
      </c>
      <c r="B3733" s="25" t="s">
        <v>330</v>
      </c>
      <c r="C3733" s="25" t="s">
        <v>333</v>
      </c>
      <c r="D3733" s="25">
        <v>1</v>
      </c>
      <c r="E3733" s="25" t="s">
        <v>4</v>
      </c>
      <c r="F3733" s="38">
        <v>43260</v>
      </c>
      <c r="G3733" s="38" t="s">
        <v>667</v>
      </c>
      <c r="H3733" s="25" t="str">
        <f t="shared" si="120"/>
        <v>平成6年9月14日</v>
      </c>
      <c r="I3733" s="22">
        <f t="shared" si="121"/>
        <v>34591</v>
      </c>
      <c r="J3733" s="1" t="str">
        <f>"00745497"</f>
        <v>00745497</v>
      </c>
      <c r="K3733" s="1" t="str">
        <f>"３３１　　　　　　　　　　　　　　　　　"</f>
        <v>３３１　　　　　　　　　　　　　　　　　</v>
      </c>
      <c r="L3733" s="1"/>
    </row>
    <row r="3734" spans="1:12" ht="18" customHeight="1" x14ac:dyDescent="0.15">
      <c r="A3734" s="25">
        <v>4326</v>
      </c>
      <c r="B3734" s="25" t="s">
        <v>330</v>
      </c>
      <c r="C3734" s="25" t="s">
        <v>333</v>
      </c>
      <c r="D3734" s="25">
        <v>1</v>
      </c>
      <c r="E3734" s="25" t="s">
        <v>4</v>
      </c>
      <c r="F3734" s="38">
        <v>43260</v>
      </c>
      <c r="G3734" s="38" t="s">
        <v>667</v>
      </c>
      <c r="H3734" s="25" t="str">
        <f t="shared" si="120"/>
        <v>平成6年9月14日</v>
      </c>
      <c r="I3734" s="22">
        <f t="shared" si="121"/>
        <v>34591</v>
      </c>
      <c r="J3734" s="1" t="str">
        <f>"00745499"</f>
        <v>00745499</v>
      </c>
      <c r="K3734" s="1" t="str">
        <f>"３３２　　　　　　　　　　　　　　　　　"</f>
        <v>３３２　　　　　　　　　　　　　　　　　</v>
      </c>
      <c r="L3734" s="1"/>
    </row>
    <row r="3735" spans="1:12" ht="18" customHeight="1" x14ac:dyDescent="0.15">
      <c r="A3735" s="25">
        <v>4327</v>
      </c>
      <c r="B3735" s="25" t="s">
        <v>330</v>
      </c>
      <c r="C3735" s="25" t="s">
        <v>333</v>
      </c>
      <c r="D3735" s="25">
        <v>1</v>
      </c>
      <c r="E3735" s="25" t="s">
        <v>4</v>
      </c>
      <c r="F3735" s="38">
        <v>43260</v>
      </c>
      <c r="G3735" s="38" t="s">
        <v>667</v>
      </c>
      <c r="H3735" s="25" t="str">
        <f t="shared" si="120"/>
        <v>平成6年9月14日</v>
      </c>
      <c r="I3735" s="22">
        <f t="shared" si="121"/>
        <v>34591</v>
      </c>
      <c r="J3735" s="1" t="str">
        <f>"00745501"</f>
        <v>00745501</v>
      </c>
      <c r="K3735" s="1" t="str">
        <f>"３３３　　　　　　　　　　　　　　　　　"</f>
        <v>３３３　　　　　　　　　　　　　　　　　</v>
      </c>
      <c r="L3735" s="1"/>
    </row>
    <row r="3736" spans="1:12" ht="18" customHeight="1" x14ac:dyDescent="0.15">
      <c r="A3736" s="25">
        <v>4328</v>
      </c>
      <c r="B3736" s="25" t="s">
        <v>330</v>
      </c>
      <c r="C3736" s="25" t="s">
        <v>333</v>
      </c>
      <c r="D3736" s="25">
        <v>1</v>
      </c>
      <c r="E3736" s="25" t="s">
        <v>4</v>
      </c>
      <c r="F3736" s="38">
        <v>43260</v>
      </c>
      <c r="G3736" s="38" t="s">
        <v>667</v>
      </c>
      <c r="H3736" s="25" t="str">
        <f t="shared" si="120"/>
        <v>平成6年9月14日</v>
      </c>
      <c r="I3736" s="22">
        <f t="shared" si="121"/>
        <v>34591</v>
      </c>
      <c r="J3736" s="1" t="str">
        <f>"00745503"</f>
        <v>00745503</v>
      </c>
      <c r="K3736" s="1" t="str">
        <f>"３３４　　　　　　　　　　　　　　　　　"</f>
        <v>３３４　　　　　　　　　　　　　　　　　</v>
      </c>
      <c r="L3736" s="1"/>
    </row>
    <row r="3737" spans="1:12" ht="18" customHeight="1" x14ac:dyDescent="0.15">
      <c r="A3737" s="25">
        <v>4329</v>
      </c>
      <c r="B3737" s="25" t="s">
        <v>330</v>
      </c>
      <c r="C3737" s="25" t="s">
        <v>333</v>
      </c>
      <c r="D3737" s="25">
        <v>1</v>
      </c>
      <c r="E3737" s="25" t="s">
        <v>4</v>
      </c>
      <c r="F3737" s="38">
        <v>43260</v>
      </c>
      <c r="G3737" s="38" t="s">
        <v>667</v>
      </c>
      <c r="H3737" s="25" t="str">
        <f t="shared" si="120"/>
        <v>平成6年9月14日</v>
      </c>
      <c r="I3737" s="22">
        <f t="shared" si="121"/>
        <v>34591</v>
      </c>
      <c r="J3737" s="1" t="str">
        <f>"00745505"</f>
        <v>00745505</v>
      </c>
      <c r="K3737" s="1" t="str">
        <f>"３３５　　　　　　　　　　　　　　　　　"</f>
        <v>３３５　　　　　　　　　　　　　　　　　</v>
      </c>
      <c r="L3737" s="1"/>
    </row>
    <row r="3738" spans="1:12" ht="18" customHeight="1" x14ac:dyDescent="0.15">
      <c r="A3738" s="11">
        <v>4332</v>
      </c>
      <c r="B3738" s="11" t="s">
        <v>338</v>
      </c>
      <c r="C3738" s="11" t="s">
        <v>339</v>
      </c>
      <c r="D3738" s="11">
        <v>1</v>
      </c>
      <c r="E3738" s="11" t="s">
        <v>4</v>
      </c>
      <c r="F3738" s="12">
        <v>34500</v>
      </c>
      <c r="G3738" s="12">
        <v>34500</v>
      </c>
      <c r="H3738" s="11" t="str">
        <f t="shared" si="120"/>
        <v>平成6年9月14日</v>
      </c>
      <c r="I3738" s="22">
        <f t="shared" si="121"/>
        <v>34591</v>
      </c>
      <c r="J3738" s="1" t="str">
        <f>"00745521"</f>
        <v>00745521</v>
      </c>
      <c r="K3738" s="1" t="str">
        <f>"３０１　　　　　　　　　　　　　　　　　"</f>
        <v>３０１　　　　　　　　　　　　　　　　　</v>
      </c>
      <c r="L3738" s="1"/>
    </row>
    <row r="3739" spans="1:12" ht="18" customHeight="1" x14ac:dyDescent="0.15">
      <c r="A3739" s="11">
        <v>4333</v>
      </c>
      <c r="B3739" s="11" t="s">
        <v>338</v>
      </c>
      <c r="C3739" s="11" t="s">
        <v>340</v>
      </c>
      <c r="D3739" s="11">
        <v>1</v>
      </c>
      <c r="E3739" s="11" t="s">
        <v>4</v>
      </c>
      <c r="F3739" s="12">
        <v>34500</v>
      </c>
      <c r="G3739" s="12">
        <v>34500</v>
      </c>
      <c r="H3739" s="11" t="str">
        <f t="shared" si="120"/>
        <v>平成6年9月14日</v>
      </c>
      <c r="I3739" s="22">
        <f t="shared" si="121"/>
        <v>34591</v>
      </c>
      <c r="J3739" s="1" t="str">
        <f>"00745523"</f>
        <v>00745523</v>
      </c>
      <c r="K3739" s="1" t="str">
        <f>"３０１－２　　　　　　　　　　　　　　　"</f>
        <v>３０１－２　　　　　　　　　　　　　　　</v>
      </c>
      <c r="L3739" s="1"/>
    </row>
    <row r="3740" spans="1:12" ht="18" customHeight="1" x14ac:dyDescent="0.15">
      <c r="A3740" s="11">
        <v>4334</v>
      </c>
      <c r="B3740" s="11" t="s">
        <v>338</v>
      </c>
      <c r="C3740" s="11" t="s">
        <v>341</v>
      </c>
      <c r="D3740" s="11">
        <v>1</v>
      </c>
      <c r="E3740" s="11" t="s">
        <v>4</v>
      </c>
      <c r="F3740" s="12">
        <v>34500</v>
      </c>
      <c r="G3740" s="12">
        <v>34500</v>
      </c>
      <c r="H3740" s="11" t="str">
        <f t="shared" si="120"/>
        <v>平成6年9月14日</v>
      </c>
      <c r="I3740" s="22">
        <f t="shared" si="121"/>
        <v>34591</v>
      </c>
      <c r="J3740" s="1" t="str">
        <f>"00745525"</f>
        <v>00745525</v>
      </c>
      <c r="K3740" s="1" t="str">
        <f>"３０１－３　　　　　　　　　　　　　　　"</f>
        <v>３０１－３　　　　　　　　　　　　　　　</v>
      </c>
      <c r="L3740" s="1"/>
    </row>
    <row r="3741" spans="1:12" ht="18" customHeight="1" x14ac:dyDescent="0.15">
      <c r="A3741" s="11">
        <v>4335</v>
      </c>
      <c r="B3741" s="11" t="s">
        <v>338</v>
      </c>
      <c r="C3741" s="11" t="s">
        <v>342</v>
      </c>
      <c r="D3741" s="11">
        <v>1</v>
      </c>
      <c r="E3741" s="11" t="s">
        <v>4</v>
      </c>
      <c r="F3741" s="12">
        <v>34500</v>
      </c>
      <c r="G3741" s="12">
        <v>34500</v>
      </c>
      <c r="H3741" s="11" t="str">
        <f t="shared" si="120"/>
        <v>平成6年9月14日</v>
      </c>
      <c r="I3741" s="22">
        <f t="shared" si="121"/>
        <v>34591</v>
      </c>
      <c r="J3741" s="1" t="str">
        <f>"00745527"</f>
        <v>00745527</v>
      </c>
      <c r="K3741" s="1" t="str">
        <f>"３０１－４　　　　　　　　　　　　　　　"</f>
        <v>３０１－４　　　　　　　　　　　　　　　</v>
      </c>
      <c r="L3741" s="1"/>
    </row>
    <row r="3742" spans="1:12" ht="18" customHeight="1" x14ac:dyDescent="0.15">
      <c r="A3742" s="25">
        <v>4336</v>
      </c>
      <c r="B3742" s="25" t="s">
        <v>343</v>
      </c>
      <c r="C3742" s="25" t="s">
        <v>344</v>
      </c>
      <c r="D3742" s="25">
        <v>1</v>
      </c>
      <c r="E3742" s="25" t="s">
        <v>4</v>
      </c>
      <c r="F3742" s="38">
        <v>34711</v>
      </c>
      <c r="G3742" s="38" t="s">
        <v>667</v>
      </c>
      <c r="H3742" s="25" t="str">
        <f t="shared" si="120"/>
        <v>平成6年9月14日</v>
      </c>
      <c r="I3742" s="22">
        <f t="shared" si="121"/>
        <v>34591</v>
      </c>
      <c r="J3742" s="1" t="str">
        <f>"00745547"</f>
        <v>00745547</v>
      </c>
      <c r="K3742" s="1" t="str">
        <f>"３０２　　　　　　　　　　　　　　　　　"</f>
        <v>３０２　　　　　　　　　　　　　　　　　</v>
      </c>
      <c r="L3742" s="1"/>
    </row>
    <row r="3743" spans="1:12" ht="18" customHeight="1" x14ac:dyDescent="0.15">
      <c r="A3743" s="25">
        <v>4337</v>
      </c>
      <c r="B3743" s="25" t="s">
        <v>343</v>
      </c>
      <c r="C3743" s="25" t="s">
        <v>345</v>
      </c>
      <c r="D3743" s="25">
        <v>1</v>
      </c>
      <c r="E3743" s="25" t="s">
        <v>4</v>
      </c>
      <c r="F3743" s="38">
        <v>40705</v>
      </c>
      <c r="G3743" s="38" t="s">
        <v>667</v>
      </c>
      <c r="H3743" s="25" t="str">
        <f t="shared" si="120"/>
        <v>平成6年9月14日</v>
      </c>
      <c r="I3743" s="22">
        <f t="shared" si="121"/>
        <v>34591</v>
      </c>
      <c r="J3743" s="1" t="str">
        <f>"00745549"</f>
        <v>00745549</v>
      </c>
      <c r="K3743" s="1" t="str">
        <f>"３０３　　　　　　　　　　　　　　　　　"</f>
        <v>３０３　　　　　　　　　　　　　　　　　</v>
      </c>
      <c r="L3743" s="1"/>
    </row>
    <row r="3744" spans="1:12" ht="18" customHeight="1" x14ac:dyDescent="0.15">
      <c r="A3744" s="25">
        <v>4338</v>
      </c>
      <c r="B3744" s="25" t="s">
        <v>343</v>
      </c>
      <c r="C3744" s="25" t="s">
        <v>346</v>
      </c>
      <c r="D3744" s="25">
        <v>1</v>
      </c>
      <c r="E3744" s="25" t="s">
        <v>4</v>
      </c>
      <c r="F3744" s="38">
        <v>44805</v>
      </c>
      <c r="G3744" s="38" t="s">
        <v>667</v>
      </c>
      <c r="H3744" s="25" t="str">
        <f t="shared" si="120"/>
        <v>平成6年9月14日</v>
      </c>
      <c r="I3744" s="22">
        <f t="shared" si="121"/>
        <v>34591</v>
      </c>
      <c r="J3744" s="1" t="str">
        <f>"00745551"</f>
        <v>00745551</v>
      </c>
      <c r="K3744" s="1" t="str">
        <f>"３０４　　　　　　　　　　　　　　　　　"</f>
        <v>３０４　　　　　　　　　　　　　　　　　</v>
      </c>
      <c r="L3744" s="1"/>
    </row>
    <row r="3745" spans="1:12" ht="18" customHeight="1" x14ac:dyDescent="0.15">
      <c r="A3745" s="11">
        <v>4381</v>
      </c>
      <c r="B3745" s="11" t="s">
        <v>100</v>
      </c>
      <c r="C3745" s="11" t="s">
        <v>350</v>
      </c>
      <c r="D3745" s="11">
        <v>1</v>
      </c>
      <c r="E3745" s="11" t="s">
        <v>17</v>
      </c>
      <c r="F3745" s="12">
        <v>35000</v>
      </c>
      <c r="G3745" s="12">
        <v>35000</v>
      </c>
      <c r="H3745" s="11" t="str">
        <f t="shared" si="120"/>
        <v>平成6年9月14日</v>
      </c>
      <c r="I3745" s="22">
        <f t="shared" si="121"/>
        <v>34591</v>
      </c>
      <c r="J3745" s="1" t="str">
        <f>"00745655"</f>
        <v>00745655</v>
      </c>
      <c r="K3745" s="1" t="str">
        <f>"３０６　　　　　　　　　　　　　　　　　"</f>
        <v>３０６　　　　　　　　　　　　　　　　　</v>
      </c>
      <c r="L3745" s="1"/>
    </row>
    <row r="3746" spans="1:12" ht="18" customHeight="1" x14ac:dyDescent="0.15">
      <c r="A3746" s="11">
        <v>4382</v>
      </c>
      <c r="B3746" s="11" t="s">
        <v>100</v>
      </c>
      <c r="C3746" s="11" t="s">
        <v>350</v>
      </c>
      <c r="D3746" s="11">
        <v>1</v>
      </c>
      <c r="E3746" s="11" t="s">
        <v>17</v>
      </c>
      <c r="F3746" s="12">
        <v>35000</v>
      </c>
      <c r="G3746" s="12">
        <v>35000</v>
      </c>
      <c r="H3746" s="11" t="str">
        <f t="shared" si="120"/>
        <v>平成6年9月14日</v>
      </c>
      <c r="I3746" s="22">
        <f t="shared" si="121"/>
        <v>34591</v>
      </c>
      <c r="J3746" s="1" t="str">
        <f>"00745657"</f>
        <v>00745657</v>
      </c>
      <c r="K3746" s="1" t="str">
        <f>"３０７　　　　　　　　　　　　　　　　　"</f>
        <v>３０７　　　　　　　　　　　　　　　　　</v>
      </c>
      <c r="L3746" s="1"/>
    </row>
    <row r="3747" spans="1:12" ht="18" customHeight="1" x14ac:dyDescent="0.15">
      <c r="A3747" s="11">
        <v>4383</v>
      </c>
      <c r="B3747" s="11" t="s">
        <v>100</v>
      </c>
      <c r="C3747" s="11" t="s">
        <v>350</v>
      </c>
      <c r="D3747" s="11">
        <v>1</v>
      </c>
      <c r="E3747" s="11" t="s">
        <v>17</v>
      </c>
      <c r="F3747" s="12">
        <v>35000</v>
      </c>
      <c r="G3747" s="12">
        <v>35000</v>
      </c>
      <c r="H3747" s="11" t="str">
        <f t="shared" si="120"/>
        <v>平成6年9月14日</v>
      </c>
      <c r="I3747" s="22">
        <f t="shared" si="121"/>
        <v>34591</v>
      </c>
      <c r="J3747" s="1" t="str">
        <f>"00745658"</f>
        <v>00745658</v>
      </c>
      <c r="K3747" s="1" t="str">
        <f>"３０８　　　　　　　　　　　　　　　　　"</f>
        <v>３０８　　　　　　　　　　　　　　　　　</v>
      </c>
      <c r="L3747" s="1"/>
    </row>
    <row r="3748" spans="1:12" ht="18" customHeight="1" x14ac:dyDescent="0.15">
      <c r="A3748" s="11">
        <v>4384</v>
      </c>
      <c r="B3748" s="11" t="s">
        <v>100</v>
      </c>
      <c r="C3748" s="11" t="s">
        <v>350</v>
      </c>
      <c r="D3748" s="11">
        <v>1</v>
      </c>
      <c r="E3748" s="11" t="s">
        <v>17</v>
      </c>
      <c r="F3748" s="12">
        <v>35000</v>
      </c>
      <c r="G3748" s="12">
        <v>35000</v>
      </c>
      <c r="H3748" s="11" t="str">
        <f t="shared" si="120"/>
        <v>平成6年9月14日</v>
      </c>
      <c r="I3748" s="22">
        <f t="shared" si="121"/>
        <v>34591</v>
      </c>
      <c r="J3748" s="1" t="str">
        <f>"00745660"</f>
        <v>00745660</v>
      </c>
      <c r="K3748" s="1" t="str">
        <f>"３０９　　　　　　　　　　　　　　　　　"</f>
        <v>３０９　　　　　　　　　　　　　　　　　</v>
      </c>
      <c r="L3748" s="1"/>
    </row>
    <row r="3749" spans="1:12" ht="18" customHeight="1" x14ac:dyDescent="0.15">
      <c r="A3749" s="11">
        <v>4385</v>
      </c>
      <c r="B3749" s="11" t="s">
        <v>100</v>
      </c>
      <c r="C3749" s="11" t="s">
        <v>350</v>
      </c>
      <c r="D3749" s="11">
        <v>1</v>
      </c>
      <c r="E3749" s="11" t="s">
        <v>17</v>
      </c>
      <c r="F3749" s="12">
        <v>35000</v>
      </c>
      <c r="G3749" s="12">
        <v>35000</v>
      </c>
      <c r="H3749" s="11" t="str">
        <f t="shared" si="120"/>
        <v>平成6年9月14日</v>
      </c>
      <c r="I3749" s="22">
        <f t="shared" si="121"/>
        <v>34591</v>
      </c>
      <c r="J3749" s="1" t="str">
        <f>"00745663"</f>
        <v>00745663</v>
      </c>
      <c r="K3749" s="1" t="str">
        <f>"３１０　　　　　　　　　　　　　　　　　"</f>
        <v>３１０　　　　　　　　　　　　　　　　　</v>
      </c>
      <c r="L3749" s="1"/>
    </row>
    <row r="3750" spans="1:12" ht="18" customHeight="1" x14ac:dyDescent="0.15">
      <c r="A3750" s="11">
        <v>4386</v>
      </c>
      <c r="B3750" s="11" t="s">
        <v>100</v>
      </c>
      <c r="C3750" s="11" t="s">
        <v>350</v>
      </c>
      <c r="D3750" s="11">
        <v>1</v>
      </c>
      <c r="E3750" s="11" t="s">
        <v>17</v>
      </c>
      <c r="F3750" s="12">
        <v>35000</v>
      </c>
      <c r="G3750" s="12">
        <v>35000</v>
      </c>
      <c r="H3750" s="11" t="str">
        <f t="shared" si="120"/>
        <v>平成6年9月14日</v>
      </c>
      <c r="I3750" s="22">
        <f t="shared" si="121"/>
        <v>34591</v>
      </c>
      <c r="J3750" s="1" t="str">
        <f>"00745665"</f>
        <v>00745665</v>
      </c>
      <c r="K3750" s="1" t="str">
        <f>"３１１　　　　　　　　　　　　　　　　　"</f>
        <v>３１１　　　　　　　　　　　　　　　　　</v>
      </c>
      <c r="L3750" s="1"/>
    </row>
    <row r="3751" spans="1:12" ht="18" customHeight="1" x14ac:dyDescent="0.15">
      <c r="A3751" s="11">
        <v>4387</v>
      </c>
      <c r="B3751" s="11" t="s">
        <v>100</v>
      </c>
      <c r="C3751" s="11" t="s">
        <v>350</v>
      </c>
      <c r="D3751" s="11">
        <v>1</v>
      </c>
      <c r="E3751" s="11" t="s">
        <v>17</v>
      </c>
      <c r="F3751" s="12">
        <v>35000</v>
      </c>
      <c r="G3751" s="12">
        <v>35000</v>
      </c>
      <c r="H3751" s="11" t="str">
        <f t="shared" si="120"/>
        <v>平成6年9月14日</v>
      </c>
      <c r="I3751" s="22">
        <f t="shared" si="121"/>
        <v>34591</v>
      </c>
      <c r="J3751" s="1" t="str">
        <f>"00745666"</f>
        <v>00745666</v>
      </c>
      <c r="K3751" s="1" t="str">
        <f>"３１２　　　　　　　　　　　　　　　　　"</f>
        <v>３１２　　　　　　　　　　　　　　　　　</v>
      </c>
      <c r="L3751" s="1"/>
    </row>
    <row r="3752" spans="1:12" ht="18" customHeight="1" x14ac:dyDescent="0.15">
      <c r="A3752" s="11">
        <v>4388</v>
      </c>
      <c r="B3752" s="11" t="s">
        <v>100</v>
      </c>
      <c r="C3752" s="11" t="s">
        <v>350</v>
      </c>
      <c r="D3752" s="11">
        <v>1</v>
      </c>
      <c r="E3752" s="11" t="s">
        <v>17</v>
      </c>
      <c r="F3752" s="12">
        <v>35000</v>
      </c>
      <c r="G3752" s="12">
        <v>35000</v>
      </c>
      <c r="H3752" s="11" t="str">
        <f t="shared" si="120"/>
        <v>平成6年9月14日</v>
      </c>
      <c r="I3752" s="22">
        <f t="shared" si="121"/>
        <v>34591</v>
      </c>
      <c r="J3752" s="1" t="str">
        <f>"00745669"</f>
        <v>00745669</v>
      </c>
      <c r="K3752" s="1" t="str">
        <f>"３１３　　　　　　　　　　　　　　　　　"</f>
        <v>３１３　　　　　　　　　　　　　　　　　</v>
      </c>
      <c r="L3752" s="1"/>
    </row>
    <row r="3753" spans="1:12" ht="18" customHeight="1" x14ac:dyDescent="0.15">
      <c r="A3753" s="11">
        <v>4389</v>
      </c>
      <c r="B3753" s="11" t="s">
        <v>100</v>
      </c>
      <c r="C3753" s="11" t="s">
        <v>350</v>
      </c>
      <c r="D3753" s="11">
        <v>1</v>
      </c>
      <c r="E3753" s="11" t="s">
        <v>17</v>
      </c>
      <c r="F3753" s="12">
        <v>35000</v>
      </c>
      <c r="G3753" s="12">
        <v>35000</v>
      </c>
      <c r="H3753" s="11" t="str">
        <f t="shared" si="120"/>
        <v>平成6年9月14日</v>
      </c>
      <c r="I3753" s="22">
        <f t="shared" si="121"/>
        <v>34591</v>
      </c>
      <c r="J3753" s="1" t="str">
        <f>"00745671"</f>
        <v>00745671</v>
      </c>
      <c r="K3753" s="1" t="str">
        <f>"３１４　　　　　　　　　　　　　　　　　"</f>
        <v>３１４　　　　　　　　　　　　　　　　　</v>
      </c>
      <c r="L3753" s="1"/>
    </row>
    <row r="3754" spans="1:12" ht="18" customHeight="1" x14ac:dyDescent="0.15">
      <c r="A3754" s="11">
        <v>4390</v>
      </c>
      <c r="B3754" s="11" t="s">
        <v>100</v>
      </c>
      <c r="C3754" s="11" t="s">
        <v>350</v>
      </c>
      <c r="D3754" s="11">
        <v>1</v>
      </c>
      <c r="E3754" s="11" t="s">
        <v>17</v>
      </c>
      <c r="F3754" s="12">
        <v>35000</v>
      </c>
      <c r="G3754" s="12">
        <v>35000</v>
      </c>
      <c r="H3754" s="11" t="str">
        <f t="shared" si="120"/>
        <v>平成6年9月14日</v>
      </c>
      <c r="I3754" s="22">
        <f t="shared" si="121"/>
        <v>34591</v>
      </c>
      <c r="J3754" s="1" t="str">
        <f>"00745672"</f>
        <v>00745672</v>
      </c>
      <c r="K3754" s="1" t="str">
        <f>"３１５　　　　　　　　　　　　　　　　　"</f>
        <v>３１５　　　　　　　　　　　　　　　　　</v>
      </c>
      <c r="L3754" s="1"/>
    </row>
    <row r="3755" spans="1:12" ht="18" customHeight="1" x14ac:dyDescent="0.15">
      <c r="A3755" s="11">
        <v>4391</v>
      </c>
      <c r="B3755" s="11" t="s">
        <v>100</v>
      </c>
      <c r="C3755" s="11" t="s">
        <v>350</v>
      </c>
      <c r="D3755" s="11">
        <v>1</v>
      </c>
      <c r="E3755" s="11" t="s">
        <v>17</v>
      </c>
      <c r="F3755" s="12">
        <v>35000</v>
      </c>
      <c r="G3755" s="12">
        <v>35000</v>
      </c>
      <c r="H3755" s="11" t="str">
        <f t="shared" si="120"/>
        <v>平成6年9月14日</v>
      </c>
      <c r="I3755" s="22">
        <f t="shared" si="121"/>
        <v>34591</v>
      </c>
      <c r="J3755" s="1" t="str">
        <f>"00745674"</f>
        <v>00745674</v>
      </c>
      <c r="K3755" s="1" t="str">
        <f>"３１６　　　　　　　　　　　　　　　　　"</f>
        <v>３１６　　　　　　　　　　　　　　　　　</v>
      </c>
      <c r="L3755" s="1"/>
    </row>
    <row r="3756" spans="1:12" ht="18" customHeight="1" x14ac:dyDescent="0.15">
      <c r="A3756" s="11">
        <v>4392</v>
      </c>
      <c r="B3756" s="11" t="s">
        <v>100</v>
      </c>
      <c r="C3756" s="11" t="s">
        <v>350</v>
      </c>
      <c r="D3756" s="11">
        <v>1</v>
      </c>
      <c r="E3756" s="11" t="s">
        <v>17</v>
      </c>
      <c r="F3756" s="12">
        <v>35000</v>
      </c>
      <c r="G3756" s="12">
        <v>35000</v>
      </c>
      <c r="H3756" s="11" t="str">
        <f t="shared" si="120"/>
        <v>平成6年9月14日</v>
      </c>
      <c r="I3756" s="22">
        <f t="shared" si="121"/>
        <v>34591</v>
      </c>
      <c r="J3756" s="1" t="str">
        <f>"00745677"</f>
        <v>00745677</v>
      </c>
      <c r="K3756" s="1" t="str">
        <f>"３１７　　　　　　　　　　　　　　　　　"</f>
        <v>３１７　　　　　　　　　　　　　　　　　</v>
      </c>
      <c r="L3756" s="1"/>
    </row>
    <row r="3757" spans="1:12" ht="18" customHeight="1" x14ac:dyDescent="0.15">
      <c r="A3757" s="11">
        <v>4393</v>
      </c>
      <c r="B3757" s="11" t="s">
        <v>100</v>
      </c>
      <c r="C3757" s="11" t="s">
        <v>350</v>
      </c>
      <c r="D3757" s="11">
        <v>1</v>
      </c>
      <c r="E3757" s="11" t="s">
        <v>17</v>
      </c>
      <c r="F3757" s="12">
        <v>35000</v>
      </c>
      <c r="G3757" s="12">
        <v>35000</v>
      </c>
      <c r="H3757" s="11" t="str">
        <f t="shared" si="120"/>
        <v>平成6年9月14日</v>
      </c>
      <c r="I3757" s="22">
        <f t="shared" si="121"/>
        <v>34591</v>
      </c>
      <c r="J3757" s="1" t="str">
        <f>"00745679"</f>
        <v>00745679</v>
      </c>
      <c r="K3757" s="1" t="str">
        <f>"３１８　　　　　　　　　　　　　　　　　"</f>
        <v>３１８　　　　　　　　　　　　　　　　　</v>
      </c>
      <c r="L3757" s="1"/>
    </row>
    <row r="3758" spans="1:12" ht="18" customHeight="1" x14ac:dyDescent="0.15">
      <c r="A3758" s="11">
        <v>4394</v>
      </c>
      <c r="B3758" s="11" t="s">
        <v>100</v>
      </c>
      <c r="C3758" s="11" t="s">
        <v>350</v>
      </c>
      <c r="D3758" s="11">
        <v>1</v>
      </c>
      <c r="E3758" s="11" t="s">
        <v>17</v>
      </c>
      <c r="F3758" s="12">
        <v>35000</v>
      </c>
      <c r="G3758" s="12">
        <v>35000</v>
      </c>
      <c r="H3758" s="11" t="str">
        <f t="shared" si="120"/>
        <v>平成6年9月14日</v>
      </c>
      <c r="I3758" s="22">
        <f t="shared" si="121"/>
        <v>34591</v>
      </c>
      <c r="J3758" s="1" t="str">
        <f>"00745681"</f>
        <v>00745681</v>
      </c>
      <c r="K3758" s="1" t="str">
        <f>"３１９　　　　　　　　　　　　　　　　　"</f>
        <v>３１９　　　　　　　　　　　　　　　　　</v>
      </c>
      <c r="L3758" s="1"/>
    </row>
    <row r="3759" spans="1:12" ht="18" customHeight="1" x14ac:dyDescent="0.15">
      <c r="A3759" s="11">
        <v>4395</v>
      </c>
      <c r="B3759" s="11" t="s">
        <v>100</v>
      </c>
      <c r="C3759" s="11" t="s">
        <v>350</v>
      </c>
      <c r="D3759" s="11">
        <v>1</v>
      </c>
      <c r="E3759" s="11" t="s">
        <v>17</v>
      </c>
      <c r="F3759" s="12">
        <v>35000</v>
      </c>
      <c r="G3759" s="12">
        <v>35000</v>
      </c>
      <c r="H3759" s="11" t="str">
        <f t="shared" si="120"/>
        <v>平成6年9月14日</v>
      </c>
      <c r="I3759" s="22">
        <f t="shared" si="121"/>
        <v>34591</v>
      </c>
      <c r="J3759" s="1" t="str">
        <f>"00745683"</f>
        <v>00745683</v>
      </c>
      <c r="K3759" s="1" t="str">
        <f>"３２０　　　　　　　　　　　　　　　　　"</f>
        <v>３２０　　　　　　　　　　　　　　　　　</v>
      </c>
      <c r="L3759" s="1"/>
    </row>
    <row r="3760" spans="1:12" ht="18" customHeight="1" x14ac:dyDescent="0.15">
      <c r="A3760" s="11">
        <v>4396</v>
      </c>
      <c r="B3760" s="11" t="s">
        <v>100</v>
      </c>
      <c r="C3760" s="11" t="s">
        <v>350</v>
      </c>
      <c r="D3760" s="11">
        <v>1</v>
      </c>
      <c r="E3760" s="11" t="s">
        <v>17</v>
      </c>
      <c r="F3760" s="12">
        <v>35000</v>
      </c>
      <c r="G3760" s="12">
        <v>35000</v>
      </c>
      <c r="H3760" s="11" t="str">
        <f t="shared" si="120"/>
        <v>平成6年9月14日</v>
      </c>
      <c r="I3760" s="22">
        <f t="shared" si="121"/>
        <v>34591</v>
      </c>
      <c r="J3760" s="1" t="str">
        <f>"00745685"</f>
        <v>00745685</v>
      </c>
      <c r="K3760" s="1" t="str">
        <f>"３２１　　　　　　　　　　　　　　　　　"</f>
        <v>３２１　　　　　　　　　　　　　　　　　</v>
      </c>
      <c r="L3760" s="1"/>
    </row>
    <row r="3761" spans="1:12" ht="18" customHeight="1" x14ac:dyDescent="0.15">
      <c r="A3761" s="11">
        <v>4397</v>
      </c>
      <c r="B3761" s="11" t="s">
        <v>100</v>
      </c>
      <c r="C3761" s="11" t="s">
        <v>350</v>
      </c>
      <c r="D3761" s="11">
        <v>1</v>
      </c>
      <c r="E3761" s="11" t="s">
        <v>17</v>
      </c>
      <c r="F3761" s="12">
        <v>35000</v>
      </c>
      <c r="G3761" s="12">
        <v>35000</v>
      </c>
      <c r="H3761" s="11" t="str">
        <f t="shared" si="120"/>
        <v>平成6年9月14日</v>
      </c>
      <c r="I3761" s="22">
        <f t="shared" si="121"/>
        <v>34591</v>
      </c>
      <c r="J3761" s="1" t="str">
        <f>"00745687"</f>
        <v>00745687</v>
      </c>
      <c r="K3761" s="1" t="str">
        <f>"３２２　　　　　　　　　　　　　　　　　"</f>
        <v>３２２　　　　　　　　　　　　　　　　　</v>
      </c>
      <c r="L3761" s="1"/>
    </row>
    <row r="3762" spans="1:12" ht="18" customHeight="1" x14ac:dyDescent="0.15">
      <c r="A3762" s="11">
        <v>4398</v>
      </c>
      <c r="B3762" s="11" t="s">
        <v>100</v>
      </c>
      <c r="C3762" s="11" t="s">
        <v>350</v>
      </c>
      <c r="D3762" s="11">
        <v>1</v>
      </c>
      <c r="E3762" s="11" t="s">
        <v>17</v>
      </c>
      <c r="F3762" s="12">
        <v>35000</v>
      </c>
      <c r="G3762" s="12">
        <v>35000</v>
      </c>
      <c r="H3762" s="11" t="str">
        <f t="shared" si="120"/>
        <v>平成6年9月14日</v>
      </c>
      <c r="I3762" s="22">
        <f t="shared" si="121"/>
        <v>34591</v>
      </c>
      <c r="J3762" s="1" t="str">
        <f>"00745689"</f>
        <v>00745689</v>
      </c>
      <c r="K3762" s="1" t="str">
        <f>"３２３　　　　　　　　　　　　　　　　　"</f>
        <v>３２３　　　　　　　　　　　　　　　　　</v>
      </c>
      <c r="L3762" s="1"/>
    </row>
    <row r="3763" spans="1:12" ht="18" customHeight="1" x14ac:dyDescent="0.15">
      <c r="A3763" s="11">
        <v>4399</v>
      </c>
      <c r="B3763" s="11" t="s">
        <v>100</v>
      </c>
      <c r="C3763" s="11" t="s">
        <v>350</v>
      </c>
      <c r="D3763" s="11">
        <v>1</v>
      </c>
      <c r="E3763" s="11" t="s">
        <v>17</v>
      </c>
      <c r="F3763" s="12">
        <v>35000</v>
      </c>
      <c r="G3763" s="12">
        <v>35000</v>
      </c>
      <c r="H3763" s="11" t="str">
        <f t="shared" si="120"/>
        <v>平成6年9月14日</v>
      </c>
      <c r="I3763" s="22">
        <f t="shared" si="121"/>
        <v>34591</v>
      </c>
      <c r="J3763" s="1" t="str">
        <f>"00745691"</f>
        <v>00745691</v>
      </c>
      <c r="K3763" s="1" t="str">
        <f>"３２４　　　　　　　　　　　　　　　　　"</f>
        <v>３２４　　　　　　　　　　　　　　　　　</v>
      </c>
      <c r="L3763" s="1"/>
    </row>
    <row r="3764" spans="1:12" ht="18" customHeight="1" x14ac:dyDescent="0.15">
      <c r="A3764" s="11">
        <v>4400</v>
      </c>
      <c r="B3764" s="11" t="s">
        <v>100</v>
      </c>
      <c r="C3764" s="11" t="s">
        <v>350</v>
      </c>
      <c r="D3764" s="11">
        <v>1</v>
      </c>
      <c r="E3764" s="11" t="s">
        <v>17</v>
      </c>
      <c r="F3764" s="12">
        <v>35000</v>
      </c>
      <c r="G3764" s="12">
        <v>35000</v>
      </c>
      <c r="H3764" s="11" t="str">
        <f t="shared" si="120"/>
        <v>平成6年9月14日</v>
      </c>
      <c r="I3764" s="22">
        <f t="shared" si="121"/>
        <v>34591</v>
      </c>
      <c r="J3764" s="1" t="str">
        <f>"00745693"</f>
        <v>00745693</v>
      </c>
      <c r="K3764" s="1" t="str">
        <f>"３２５　　　　　　　　　　　　　　　　　"</f>
        <v>３２５　　　　　　　　　　　　　　　　　</v>
      </c>
      <c r="L3764" s="1"/>
    </row>
    <row r="3765" spans="1:12" ht="18" customHeight="1" x14ac:dyDescent="0.15">
      <c r="A3765" s="11">
        <v>4401</v>
      </c>
      <c r="B3765" s="11" t="s">
        <v>100</v>
      </c>
      <c r="C3765" s="11" t="s">
        <v>350</v>
      </c>
      <c r="D3765" s="11">
        <v>1</v>
      </c>
      <c r="E3765" s="11" t="s">
        <v>17</v>
      </c>
      <c r="F3765" s="12">
        <v>35000</v>
      </c>
      <c r="G3765" s="12">
        <v>35000</v>
      </c>
      <c r="H3765" s="11" t="str">
        <f t="shared" si="120"/>
        <v>平成6年9月14日</v>
      </c>
      <c r="I3765" s="22">
        <f t="shared" si="121"/>
        <v>34591</v>
      </c>
      <c r="J3765" s="1" t="str">
        <f>"00745695"</f>
        <v>00745695</v>
      </c>
      <c r="K3765" s="1" t="str">
        <f>"３２６　　　　　　　　　　　　　　　　　"</f>
        <v>３２６　　　　　　　　　　　　　　　　　</v>
      </c>
      <c r="L3765" s="1"/>
    </row>
    <row r="3766" spans="1:12" ht="18" customHeight="1" x14ac:dyDescent="0.15">
      <c r="A3766" s="11">
        <v>4402</v>
      </c>
      <c r="B3766" s="11" t="s">
        <v>100</v>
      </c>
      <c r="C3766" s="11" t="s">
        <v>350</v>
      </c>
      <c r="D3766" s="11">
        <v>1</v>
      </c>
      <c r="E3766" s="11" t="s">
        <v>17</v>
      </c>
      <c r="F3766" s="12">
        <v>35000</v>
      </c>
      <c r="G3766" s="12">
        <v>35000</v>
      </c>
      <c r="H3766" s="11" t="str">
        <f t="shared" si="120"/>
        <v>平成6年9月14日</v>
      </c>
      <c r="I3766" s="22">
        <f t="shared" si="121"/>
        <v>34591</v>
      </c>
      <c r="J3766" s="1" t="str">
        <f>"00745697"</f>
        <v>00745697</v>
      </c>
      <c r="K3766" s="1" t="str">
        <f>"３２７　　　　　　　　　　　　　　　　　"</f>
        <v>３２７　　　　　　　　　　　　　　　　　</v>
      </c>
      <c r="L3766" s="1"/>
    </row>
    <row r="3767" spans="1:12" ht="18" customHeight="1" x14ac:dyDescent="0.15">
      <c r="A3767" s="11">
        <v>4403</v>
      </c>
      <c r="B3767" s="11" t="s">
        <v>100</v>
      </c>
      <c r="C3767" s="11" t="s">
        <v>350</v>
      </c>
      <c r="D3767" s="11">
        <v>1</v>
      </c>
      <c r="E3767" s="11" t="s">
        <v>17</v>
      </c>
      <c r="F3767" s="12">
        <v>35000</v>
      </c>
      <c r="G3767" s="12">
        <v>35000</v>
      </c>
      <c r="H3767" s="11" t="str">
        <f t="shared" si="120"/>
        <v>平成6年9月14日</v>
      </c>
      <c r="I3767" s="22">
        <f t="shared" si="121"/>
        <v>34591</v>
      </c>
      <c r="J3767" s="1" t="str">
        <f>"00745699"</f>
        <v>00745699</v>
      </c>
      <c r="K3767" s="1" t="str">
        <f>"３２８　　　　　　　　　　　　　　　　　"</f>
        <v>３２８　　　　　　　　　　　　　　　　　</v>
      </c>
      <c r="L3767" s="1"/>
    </row>
    <row r="3768" spans="1:12" ht="18" customHeight="1" x14ac:dyDescent="0.15">
      <c r="A3768" s="11">
        <v>4404</v>
      </c>
      <c r="B3768" s="11" t="s">
        <v>100</v>
      </c>
      <c r="C3768" s="11" t="s">
        <v>350</v>
      </c>
      <c r="D3768" s="11">
        <v>1</v>
      </c>
      <c r="E3768" s="11" t="s">
        <v>17</v>
      </c>
      <c r="F3768" s="12">
        <v>35000</v>
      </c>
      <c r="G3768" s="12">
        <v>35000</v>
      </c>
      <c r="H3768" s="11" t="str">
        <f t="shared" si="120"/>
        <v>平成6年9月14日</v>
      </c>
      <c r="I3768" s="22">
        <f t="shared" si="121"/>
        <v>34591</v>
      </c>
      <c r="J3768" s="1" t="str">
        <f>"00745701"</f>
        <v>00745701</v>
      </c>
      <c r="K3768" s="1" t="str">
        <f>"３２９　　　　　　　　　　　　　　　　　"</f>
        <v>３２９　　　　　　　　　　　　　　　　　</v>
      </c>
      <c r="L3768" s="1"/>
    </row>
    <row r="3769" spans="1:12" ht="18" customHeight="1" x14ac:dyDescent="0.15">
      <c r="A3769" s="11">
        <v>4405</v>
      </c>
      <c r="B3769" s="11" t="s">
        <v>100</v>
      </c>
      <c r="C3769" s="11" t="s">
        <v>350</v>
      </c>
      <c r="D3769" s="11">
        <v>1</v>
      </c>
      <c r="E3769" s="11" t="s">
        <v>17</v>
      </c>
      <c r="F3769" s="12">
        <v>35000</v>
      </c>
      <c r="G3769" s="12">
        <v>35000</v>
      </c>
      <c r="H3769" s="11" t="str">
        <f t="shared" si="120"/>
        <v>平成6年9月14日</v>
      </c>
      <c r="I3769" s="22">
        <f t="shared" si="121"/>
        <v>34591</v>
      </c>
      <c r="J3769" s="1" t="str">
        <f>"00745703"</f>
        <v>00745703</v>
      </c>
      <c r="K3769" s="1" t="str">
        <f>"３３０　　　　　　　　　　　　　　　　　"</f>
        <v>３３０　　　　　　　　　　　　　　　　　</v>
      </c>
      <c r="L3769" s="1"/>
    </row>
    <row r="3770" spans="1:12" ht="18" customHeight="1" x14ac:dyDescent="0.15">
      <c r="A3770" s="11">
        <v>4406</v>
      </c>
      <c r="B3770" s="11" t="s">
        <v>100</v>
      </c>
      <c r="C3770" s="11" t="s">
        <v>350</v>
      </c>
      <c r="D3770" s="11">
        <v>1</v>
      </c>
      <c r="E3770" s="11" t="s">
        <v>17</v>
      </c>
      <c r="F3770" s="12">
        <v>35000</v>
      </c>
      <c r="G3770" s="12">
        <v>35000</v>
      </c>
      <c r="H3770" s="11" t="str">
        <f t="shared" si="120"/>
        <v>平成6年9月14日</v>
      </c>
      <c r="I3770" s="22">
        <f t="shared" si="121"/>
        <v>34591</v>
      </c>
      <c r="J3770" s="1" t="str">
        <f>"00745705"</f>
        <v>00745705</v>
      </c>
      <c r="K3770" s="1" t="str">
        <f>"３３１　　　　　　　　　　　　　　　　　"</f>
        <v>３３１　　　　　　　　　　　　　　　　　</v>
      </c>
      <c r="L3770" s="1"/>
    </row>
    <row r="3771" spans="1:12" ht="18" customHeight="1" x14ac:dyDescent="0.15">
      <c r="A3771" s="11">
        <v>4407</v>
      </c>
      <c r="B3771" s="11" t="s">
        <v>100</v>
      </c>
      <c r="C3771" s="11" t="s">
        <v>350</v>
      </c>
      <c r="D3771" s="11">
        <v>1</v>
      </c>
      <c r="E3771" s="11" t="s">
        <v>17</v>
      </c>
      <c r="F3771" s="12">
        <v>35000</v>
      </c>
      <c r="G3771" s="12">
        <v>35000</v>
      </c>
      <c r="H3771" s="11" t="str">
        <f t="shared" si="120"/>
        <v>平成6年9月14日</v>
      </c>
      <c r="I3771" s="22">
        <f t="shared" si="121"/>
        <v>34591</v>
      </c>
      <c r="J3771" s="1" t="str">
        <f>"00745707"</f>
        <v>00745707</v>
      </c>
      <c r="K3771" s="1" t="str">
        <f>"３３２　　　　　　　　　　　　　　　　　"</f>
        <v>３３２　　　　　　　　　　　　　　　　　</v>
      </c>
      <c r="L3771" s="1"/>
    </row>
    <row r="3772" spans="1:12" ht="18" customHeight="1" x14ac:dyDescent="0.15">
      <c r="A3772" s="11">
        <v>4408</v>
      </c>
      <c r="B3772" s="11" t="s">
        <v>100</v>
      </c>
      <c r="C3772" s="11" t="s">
        <v>350</v>
      </c>
      <c r="D3772" s="11">
        <v>1</v>
      </c>
      <c r="E3772" s="11" t="s">
        <v>17</v>
      </c>
      <c r="F3772" s="12">
        <v>35000</v>
      </c>
      <c r="G3772" s="12">
        <v>35000</v>
      </c>
      <c r="H3772" s="11" t="str">
        <f t="shared" si="120"/>
        <v>平成6年9月14日</v>
      </c>
      <c r="I3772" s="22">
        <f t="shared" si="121"/>
        <v>34591</v>
      </c>
      <c r="J3772" s="1" t="str">
        <f>"00745709"</f>
        <v>00745709</v>
      </c>
      <c r="K3772" s="1" t="str">
        <f>"３３３　　　　　　　　　　　　　　　　　"</f>
        <v>３３３　　　　　　　　　　　　　　　　　</v>
      </c>
      <c r="L3772" s="1"/>
    </row>
    <row r="3773" spans="1:12" ht="18" customHeight="1" x14ac:dyDescent="0.15">
      <c r="A3773" s="11">
        <v>4409</v>
      </c>
      <c r="B3773" s="11" t="s">
        <v>100</v>
      </c>
      <c r="C3773" s="11" t="s">
        <v>350</v>
      </c>
      <c r="D3773" s="11">
        <v>1</v>
      </c>
      <c r="E3773" s="11" t="s">
        <v>17</v>
      </c>
      <c r="F3773" s="12">
        <v>35000</v>
      </c>
      <c r="G3773" s="12">
        <v>35000</v>
      </c>
      <c r="H3773" s="11" t="str">
        <f t="shared" si="120"/>
        <v>平成6年9月14日</v>
      </c>
      <c r="I3773" s="22">
        <f t="shared" si="121"/>
        <v>34591</v>
      </c>
      <c r="J3773" s="1" t="str">
        <f>"00745711"</f>
        <v>00745711</v>
      </c>
      <c r="K3773" s="1" t="str">
        <f>"３３４　　　　　　　　　　　　　　　　　"</f>
        <v>３３４　　　　　　　　　　　　　　　　　</v>
      </c>
      <c r="L3773" s="1"/>
    </row>
    <row r="3774" spans="1:12" ht="18" customHeight="1" x14ac:dyDescent="0.15">
      <c r="A3774" s="11">
        <v>4410</v>
      </c>
      <c r="B3774" s="11" t="s">
        <v>100</v>
      </c>
      <c r="C3774" s="11" t="s">
        <v>350</v>
      </c>
      <c r="D3774" s="11">
        <v>1</v>
      </c>
      <c r="E3774" s="11" t="s">
        <v>17</v>
      </c>
      <c r="F3774" s="12">
        <v>35000</v>
      </c>
      <c r="G3774" s="12">
        <v>35000</v>
      </c>
      <c r="H3774" s="11" t="str">
        <f t="shared" si="120"/>
        <v>平成6年9月14日</v>
      </c>
      <c r="I3774" s="22">
        <f t="shared" si="121"/>
        <v>34591</v>
      </c>
      <c r="J3774" s="1" t="str">
        <f>"00745713"</f>
        <v>00745713</v>
      </c>
      <c r="K3774" s="1" t="str">
        <f>"３３５　　　　　　　　　　　　　　　　　"</f>
        <v>３３５　　　　　　　　　　　　　　　　　</v>
      </c>
      <c r="L3774" s="1"/>
    </row>
    <row r="3775" spans="1:12" ht="18" customHeight="1" x14ac:dyDescent="0.15">
      <c r="A3775" s="11">
        <v>4411</v>
      </c>
      <c r="B3775" s="11" t="s">
        <v>100</v>
      </c>
      <c r="C3775" s="11" t="s">
        <v>350</v>
      </c>
      <c r="D3775" s="11">
        <v>1</v>
      </c>
      <c r="E3775" s="11" t="s">
        <v>17</v>
      </c>
      <c r="F3775" s="12">
        <v>35000</v>
      </c>
      <c r="G3775" s="12">
        <v>35000</v>
      </c>
      <c r="H3775" s="11" t="str">
        <f t="shared" si="120"/>
        <v>平成6年9月14日</v>
      </c>
      <c r="I3775" s="22">
        <f t="shared" si="121"/>
        <v>34591</v>
      </c>
      <c r="J3775" s="1" t="str">
        <f>"00745715"</f>
        <v>00745715</v>
      </c>
      <c r="K3775" s="1" t="str">
        <f>"３３８　　　　　　　　　　　　　　　　　"</f>
        <v>３３８　　　　　　　　　　　　　　　　　</v>
      </c>
      <c r="L3775" s="1"/>
    </row>
    <row r="3776" spans="1:12" ht="18" customHeight="1" x14ac:dyDescent="0.15">
      <c r="A3776" s="11">
        <v>4412</v>
      </c>
      <c r="B3776" s="11" t="s">
        <v>100</v>
      </c>
      <c r="C3776" s="11" t="s">
        <v>350</v>
      </c>
      <c r="D3776" s="11">
        <v>1</v>
      </c>
      <c r="E3776" s="11" t="s">
        <v>17</v>
      </c>
      <c r="F3776" s="12">
        <v>35000</v>
      </c>
      <c r="G3776" s="12">
        <v>35000</v>
      </c>
      <c r="H3776" s="11" t="str">
        <f t="shared" si="120"/>
        <v>平成6年9月14日</v>
      </c>
      <c r="I3776" s="22">
        <f t="shared" si="121"/>
        <v>34591</v>
      </c>
      <c r="J3776" s="1" t="str">
        <f>"00745717"</f>
        <v>00745717</v>
      </c>
      <c r="K3776" s="1" t="str">
        <f>"３３９　　　　　　　　　　　　　　　　　"</f>
        <v>３３９　　　　　　　　　　　　　　　　　</v>
      </c>
      <c r="L3776" s="1"/>
    </row>
    <row r="3777" spans="1:12" ht="18" customHeight="1" x14ac:dyDescent="0.15">
      <c r="A3777" s="11">
        <v>4413</v>
      </c>
      <c r="B3777" s="11" t="s">
        <v>100</v>
      </c>
      <c r="C3777" s="11" t="s">
        <v>350</v>
      </c>
      <c r="D3777" s="11">
        <v>1</v>
      </c>
      <c r="E3777" s="11" t="s">
        <v>17</v>
      </c>
      <c r="F3777" s="12">
        <v>35000</v>
      </c>
      <c r="G3777" s="12">
        <v>35000</v>
      </c>
      <c r="H3777" s="11" t="str">
        <f t="shared" si="120"/>
        <v>平成6年9月14日</v>
      </c>
      <c r="I3777" s="22">
        <f t="shared" si="121"/>
        <v>34591</v>
      </c>
      <c r="J3777" s="1" t="str">
        <f>"00745719"</f>
        <v>00745719</v>
      </c>
      <c r="K3777" s="1" t="str">
        <f>"３４０　　　　　　　　　　　　　　　　　"</f>
        <v>３４０　　　　　　　　　　　　　　　　　</v>
      </c>
      <c r="L3777" s="1"/>
    </row>
    <row r="3778" spans="1:12" ht="18" customHeight="1" x14ac:dyDescent="0.15">
      <c r="A3778" s="11">
        <v>4414</v>
      </c>
      <c r="B3778" s="11" t="s">
        <v>100</v>
      </c>
      <c r="C3778" s="11" t="s">
        <v>350</v>
      </c>
      <c r="D3778" s="11">
        <v>1</v>
      </c>
      <c r="E3778" s="11" t="s">
        <v>17</v>
      </c>
      <c r="F3778" s="12">
        <v>35000</v>
      </c>
      <c r="G3778" s="12">
        <v>35000</v>
      </c>
      <c r="H3778" s="11" t="str">
        <f t="shared" si="120"/>
        <v>平成6年9月14日</v>
      </c>
      <c r="I3778" s="22">
        <f t="shared" si="121"/>
        <v>34591</v>
      </c>
      <c r="J3778" s="1" t="str">
        <f>"00745721"</f>
        <v>00745721</v>
      </c>
      <c r="K3778" s="1" t="str">
        <f>"３４１　　　　　　　　　　　　　　　　　"</f>
        <v>３４１　　　　　　　　　　　　　　　　　</v>
      </c>
      <c r="L3778" s="1"/>
    </row>
    <row r="3779" spans="1:12" ht="18" customHeight="1" x14ac:dyDescent="0.15">
      <c r="A3779" s="11">
        <v>4415</v>
      </c>
      <c r="B3779" s="11" t="s">
        <v>100</v>
      </c>
      <c r="C3779" s="11" t="s">
        <v>350</v>
      </c>
      <c r="D3779" s="11">
        <v>1</v>
      </c>
      <c r="E3779" s="11" t="s">
        <v>17</v>
      </c>
      <c r="F3779" s="12">
        <v>35000</v>
      </c>
      <c r="G3779" s="12">
        <v>35000</v>
      </c>
      <c r="H3779" s="11" t="str">
        <f t="shared" si="120"/>
        <v>平成6年9月14日</v>
      </c>
      <c r="I3779" s="22">
        <f t="shared" si="121"/>
        <v>34591</v>
      </c>
      <c r="J3779" s="1" t="str">
        <f>"00745723"</f>
        <v>00745723</v>
      </c>
      <c r="K3779" s="1" t="str">
        <f>"３４２　　　　　　　　　　　　　　　　　"</f>
        <v>３４２　　　　　　　　　　　　　　　　　</v>
      </c>
      <c r="L3779" s="1"/>
    </row>
    <row r="3780" spans="1:12" ht="18" customHeight="1" x14ac:dyDescent="0.15">
      <c r="A3780" s="11">
        <v>4416</v>
      </c>
      <c r="B3780" s="11" t="s">
        <v>100</v>
      </c>
      <c r="C3780" s="11" t="s">
        <v>350</v>
      </c>
      <c r="D3780" s="11">
        <v>1</v>
      </c>
      <c r="E3780" s="11" t="s">
        <v>17</v>
      </c>
      <c r="F3780" s="12">
        <v>35000</v>
      </c>
      <c r="G3780" s="12">
        <v>35000</v>
      </c>
      <c r="H3780" s="11" t="str">
        <f t="shared" si="120"/>
        <v>平成6年9月14日</v>
      </c>
      <c r="I3780" s="22">
        <f t="shared" si="121"/>
        <v>34591</v>
      </c>
      <c r="J3780" s="1" t="str">
        <f>"00745725"</f>
        <v>00745725</v>
      </c>
      <c r="K3780" s="1" t="str">
        <f>"３４３　　　　　　　　　　　　　　　　　"</f>
        <v>３４３　　　　　　　　　　　　　　　　　</v>
      </c>
      <c r="L3780" s="1"/>
    </row>
    <row r="3781" spans="1:12" ht="18" customHeight="1" x14ac:dyDescent="0.15">
      <c r="A3781" s="11">
        <v>4417</v>
      </c>
      <c r="B3781" s="11" t="s">
        <v>100</v>
      </c>
      <c r="C3781" s="11" t="s">
        <v>350</v>
      </c>
      <c r="D3781" s="11">
        <v>1</v>
      </c>
      <c r="E3781" s="11" t="s">
        <v>17</v>
      </c>
      <c r="F3781" s="12">
        <v>35000</v>
      </c>
      <c r="G3781" s="12">
        <v>35000</v>
      </c>
      <c r="H3781" s="11" t="str">
        <f t="shared" si="120"/>
        <v>平成6年9月14日</v>
      </c>
      <c r="I3781" s="22">
        <f t="shared" si="121"/>
        <v>34591</v>
      </c>
      <c r="J3781" s="1" t="str">
        <f>"00745727"</f>
        <v>00745727</v>
      </c>
      <c r="K3781" s="1" t="str">
        <f>"３４４　　　　　　　　　　　　　　　　　"</f>
        <v>３４４　　　　　　　　　　　　　　　　　</v>
      </c>
      <c r="L3781" s="1"/>
    </row>
    <row r="3782" spans="1:12" ht="18" customHeight="1" x14ac:dyDescent="0.15">
      <c r="A3782" s="11">
        <v>4418</v>
      </c>
      <c r="B3782" s="11" t="s">
        <v>100</v>
      </c>
      <c r="C3782" s="11" t="s">
        <v>350</v>
      </c>
      <c r="D3782" s="11">
        <v>1</v>
      </c>
      <c r="E3782" s="11" t="s">
        <v>17</v>
      </c>
      <c r="F3782" s="12">
        <v>35000</v>
      </c>
      <c r="G3782" s="12">
        <v>35000</v>
      </c>
      <c r="H3782" s="11" t="str">
        <f t="shared" si="120"/>
        <v>平成6年9月14日</v>
      </c>
      <c r="I3782" s="22">
        <f t="shared" si="121"/>
        <v>34591</v>
      </c>
      <c r="J3782" s="1" t="str">
        <f>"00745729"</f>
        <v>00745729</v>
      </c>
      <c r="K3782" s="1" t="str">
        <f>"３４５　　　　　　　　　　　　　　　　　"</f>
        <v>３４５　　　　　　　　　　　　　　　　　</v>
      </c>
      <c r="L3782" s="1"/>
    </row>
    <row r="3783" spans="1:12" ht="18" customHeight="1" x14ac:dyDescent="0.15">
      <c r="A3783" s="11">
        <v>4419</v>
      </c>
      <c r="B3783" s="11" t="s">
        <v>100</v>
      </c>
      <c r="C3783" s="11" t="s">
        <v>350</v>
      </c>
      <c r="D3783" s="11">
        <v>1</v>
      </c>
      <c r="E3783" s="11" t="s">
        <v>17</v>
      </c>
      <c r="F3783" s="12">
        <v>35000</v>
      </c>
      <c r="G3783" s="12">
        <v>35000</v>
      </c>
      <c r="H3783" s="11" t="str">
        <f t="shared" si="120"/>
        <v>平成6年9月14日</v>
      </c>
      <c r="I3783" s="22">
        <f t="shared" si="121"/>
        <v>34591</v>
      </c>
      <c r="J3783" s="1" t="str">
        <f>"00745731"</f>
        <v>00745731</v>
      </c>
      <c r="K3783" s="1" t="str">
        <f>"３４６　　　　　　　　　　　　　　　　　"</f>
        <v>３４６　　　　　　　　　　　　　　　　　</v>
      </c>
      <c r="L3783" s="1"/>
    </row>
    <row r="3784" spans="1:12" ht="18" customHeight="1" x14ac:dyDescent="0.15">
      <c r="A3784" s="11">
        <v>4420</v>
      </c>
      <c r="B3784" s="11" t="s">
        <v>100</v>
      </c>
      <c r="C3784" s="11" t="s">
        <v>350</v>
      </c>
      <c r="D3784" s="11">
        <v>1</v>
      </c>
      <c r="E3784" s="11" t="s">
        <v>17</v>
      </c>
      <c r="F3784" s="12">
        <v>35000</v>
      </c>
      <c r="G3784" s="12">
        <v>35000</v>
      </c>
      <c r="H3784" s="11" t="str">
        <f t="shared" si="120"/>
        <v>平成6年9月14日</v>
      </c>
      <c r="I3784" s="22">
        <f t="shared" si="121"/>
        <v>34591</v>
      </c>
      <c r="J3784" s="1" t="str">
        <f>"00745733"</f>
        <v>00745733</v>
      </c>
      <c r="K3784" s="1" t="str">
        <f>"３４７　　　　　　　　　　　　　　　　　"</f>
        <v>３４７　　　　　　　　　　　　　　　　　</v>
      </c>
      <c r="L3784" s="1"/>
    </row>
    <row r="3785" spans="1:12" ht="18" customHeight="1" x14ac:dyDescent="0.15">
      <c r="A3785" s="11">
        <v>4421</v>
      </c>
      <c r="B3785" s="11" t="s">
        <v>100</v>
      </c>
      <c r="C3785" s="11" t="s">
        <v>350</v>
      </c>
      <c r="D3785" s="11">
        <v>1</v>
      </c>
      <c r="E3785" s="11" t="s">
        <v>17</v>
      </c>
      <c r="F3785" s="12">
        <v>35000</v>
      </c>
      <c r="G3785" s="12">
        <v>35000</v>
      </c>
      <c r="H3785" s="11" t="str">
        <f t="shared" si="120"/>
        <v>平成6年9月14日</v>
      </c>
      <c r="I3785" s="22">
        <f t="shared" si="121"/>
        <v>34591</v>
      </c>
      <c r="J3785" s="1" t="str">
        <f>"00745735"</f>
        <v>00745735</v>
      </c>
      <c r="K3785" s="1" t="str">
        <f>"３４８　　　　　　　　　　　　　　　　　"</f>
        <v>３４８　　　　　　　　　　　　　　　　　</v>
      </c>
      <c r="L3785" s="1"/>
    </row>
    <row r="3786" spans="1:12" ht="18" customHeight="1" x14ac:dyDescent="0.15">
      <c r="A3786" s="11">
        <v>4422</v>
      </c>
      <c r="B3786" s="11" t="s">
        <v>100</v>
      </c>
      <c r="C3786" s="11" t="s">
        <v>350</v>
      </c>
      <c r="D3786" s="11">
        <v>1</v>
      </c>
      <c r="E3786" s="11" t="s">
        <v>17</v>
      </c>
      <c r="F3786" s="12">
        <v>35000</v>
      </c>
      <c r="G3786" s="12">
        <v>35000</v>
      </c>
      <c r="H3786" s="11" t="str">
        <f t="shared" si="120"/>
        <v>平成6年9月14日</v>
      </c>
      <c r="I3786" s="22">
        <f t="shared" si="121"/>
        <v>34591</v>
      </c>
      <c r="J3786" s="1" t="str">
        <f>"00745737"</f>
        <v>00745737</v>
      </c>
      <c r="K3786" s="1" t="str">
        <f>"３４９　　　　　　　　　　　　　　　　　"</f>
        <v>３４９　　　　　　　　　　　　　　　　　</v>
      </c>
      <c r="L3786" s="1"/>
    </row>
    <row r="3787" spans="1:12" ht="18" customHeight="1" x14ac:dyDescent="0.15">
      <c r="A3787" s="11">
        <v>4423</v>
      </c>
      <c r="B3787" s="11" t="s">
        <v>100</v>
      </c>
      <c r="C3787" s="11" t="s">
        <v>350</v>
      </c>
      <c r="D3787" s="11">
        <v>1</v>
      </c>
      <c r="E3787" s="11" t="s">
        <v>17</v>
      </c>
      <c r="F3787" s="12">
        <v>35000</v>
      </c>
      <c r="G3787" s="12">
        <v>35000</v>
      </c>
      <c r="H3787" s="11" t="str">
        <f t="shared" si="120"/>
        <v>平成6年9月14日</v>
      </c>
      <c r="I3787" s="22">
        <f t="shared" si="121"/>
        <v>34591</v>
      </c>
      <c r="J3787" s="1" t="str">
        <f>"00745739"</f>
        <v>00745739</v>
      </c>
      <c r="K3787" s="1" t="str">
        <f>"３５０　　　　　　　　　　　　　　　　　"</f>
        <v>３５０　　　　　　　　　　　　　　　　　</v>
      </c>
      <c r="L3787" s="1"/>
    </row>
    <row r="3788" spans="1:12" ht="18" customHeight="1" x14ac:dyDescent="0.15">
      <c r="A3788" s="11">
        <v>4424</v>
      </c>
      <c r="B3788" s="11" t="s">
        <v>100</v>
      </c>
      <c r="C3788" s="11" t="s">
        <v>350</v>
      </c>
      <c r="D3788" s="11">
        <v>1</v>
      </c>
      <c r="E3788" s="11" t="s">
        <v>17</v>
      </c>
      <c r="F3788" s="12">
        <v>35000</v>
      </c>
      <c r="G3788" s="12">
        <v>35000</v>
      </c>
      <c r="H3788" s="11" t="str">
        <f t="shared" si="120"/>
        <v>平成6年9月14日</v>
      </c>
      <c r="I3788" s="22">
        <f t="shared" si="121"/>
        <v>34591</v>
      </c>
      <c r="J3788" s="1" t="str">
        <f>"00745741"</f>
        <v>00745741</v>
      </c>
      <c r="K3788" s="1" t="str">
        <f>"３５１　　　　　　　　　　　　　　　　　"</f>
        <v>３５１　　　　　　　　　　　　　　　　　</v>
      </c>
      <c r="L3788" s="1"/>
    </row>
    <row r="3789" spans="1:12" ht="18" customHeight="1" x14ac:dyDescent="0.15">
      <c r="A3789" s="11">
        <v>4425</v>
      </c>
      <c r="B3789" s="11" t="s">
        <v>100</v>
      </c>
      <c r="C3789" s="11" t="s">
        <v>350</v>
      </c>
      <c r="D3789" s="11">
        <v>1</v>
      </c>
      <c r="E3789" s="11" t="s">
        <v>17</v>
      </c>
      <c r="F3789" s="12">
        <v>35000</v>
      </c>
      <c r="G3789" s="12">
        <v>35000</v>
      </c>
      <c r="H3789" s="11" t="str">
        <f t="shared" si="120"/>
        <v>平成6年9月14日</v>
      </c>
      <c r="I3789" s="22">
        <f t="shared" si="121"/>
        <v>34591</v>
      </c>
      <c r="J3789" s="1" t="str">
        <f>"00745743"</f>
        <v>00745743</v>
      </c>
      <c r="K3789" s="1" t="str">
        <f>"３５２　　　　　　　　　　　　　　　　　"</f>
        <v>３５２　　　　　　　　　　　　　　　　　</v>
      </c>
      <c r="L3789" s="1"/>
    </row>
    <row r="3790" spans="1:12" ht="18" customHeight="1" x14ac:dyDescent="0.15">
      <c r="A3790" s="11">
        <v>4426</v>
      </c>
      <c r="B3790" s="11" t="s">
        <v>100</v>
      </c>
      <c r="C3790" s="11" t="s">
        <v>350</v>
      </c>
      <c r="D3790" s="11">
        <v>1</v>
      </c>
      <c r="E3790" s="11" t="s">
        <v>17</v>
      </c>
      <c r="F3790" s="12">
        <v>35000</v>
      </c>
      <c r="G3790" s="12">
        <v>35000</v>
      </c>
      <c r="H3790" s="11" t="str">
        <f t="shared" si="120"/>
        <v>平成6年9月14日</v>
      </c>
      <c r="I3790" s="22">
        <f t="shared" si="121"/>
        <v>34591</v>
      </c>
      <c r="J3790" s="1" t="str">
        <f>"00745745"</f>
        <v>00745745</v>
      </c>
      <c r="K3790" s="1" t="str">
        <f>"３５３　　　　　　　　　　　　　　　　　"</f>
        <v>３５３　　　　　　　　　　　　　　　　　</v>
      </c>
      <c r="L3790" s="1"/>
    </row>
    <row r="3791" spans="1:12" ht="18" customHeight="1" x14ac:dyDescent="0.15">
      <c r="A3791" s="11">
        <v>4427</v>
      </c>
      <c r="B3791" s="11" t="s">
        <v>100</v>
      </c>
      <c r="C3791" s="11" t="s">
        <v>350</v>
      </c>
      <c r="D3791" s="11">
        <v>1</v>
      </c>
      <c r="E3791" s="11" t="s">
        <v>17</v>
      </c>
      <c r="F3791" s="12">
        <v>35000</v>
      </c>
      <c r="G3791" s="12">
        <v>35000</v>
      </c>
      <c r="H3791" s="11" t="str">
        <f t="shared" ref="H3791:H3854" si="122">"平成6年9月14日"</f>
        <v>平成6年9月14日</v>
      </c>
      <c r="I3791" s="22">
        <f t="shared" si="121"/>
        <v>34591</v>
      </c>
      <c r="J3791" s="1" t="str">
        <f>"00745747"</f>
        <v>00745747</v>
      </c>
      <c r="K3791" s="1" t="str">
        <f>"３５４　　　　　　　　　　　　　　　　　"</f>
        <v>３５４　　　　　　　　　　　　　　　　　</v>
      </c>
      <c r="L3791" s="1"/>
    </row>
    <row r="3792" spans="1:12" ht="18" customHeight="1" x14ac:dyDescent="0.15">
      <c r="A3792" s="11">
        <v>4428</v>
      </c>
      <c r="B3792" s="11" t="s">
        <v>100</v>
      </c>
      <c r="C3792" s="11" t="s">
        <v>350</v>
      </c>
      <c r="D3792" s="11">
        <v>1</v>
      </c>
      <c r="E3792" s="11" t="s">
        <v>17</v>
      </c>
      <c r="F3792" s="12">
        <v>35000</v>
      </c>
      <c r="G3792" s="12">
        <v>35000</v>
      </c>
      <c r="H3792" s="11" t="str">
        <f t="shared" si="122"/>
        <v>平成6年9月14日</v>
      </c>
      <c r="I3792" s="22">
        <f t="shared" si="121"/>
        <v>34591</v>
      </c>
      <c r="J3792" s="1" t="str">
        <f>"00745749"</f>
        <v>00745749</v>
      </c>
      <c r="K3792" s="1" t="str">
        <f>"３５５　　　　　　　　　　　　　　　　　"</f>
        <v>３５５　　　　　　　　　　　　　　　　　</v>
      </c>
      <c r="L3792" s="1"/>
    </row>
    <row r="3793" spans="1:12" ht="18" customHeight="1" x14ac:dyDescent="0.15">
      <c r="A3793" s="11">
        <v>4429</v>
      </c>
      <c r="B3793" s="11" t="s">
        <v>100</v>
      </c>
      <c r="C3793" s="11" t="s">
        <v>350</v>
      </c>
      <c r="D3793" s="11">
        <v>1</v>
      </c>
      <c r="E3793" s="11" t="s">
        <v>17</v>
      </c>
      <c r="F3793" s="12">
        <v>35000</v>
      </c>
      <c r="G3793" s="12">
        <v>35000</v>
      </c>
      <c r="H3793" s="11" t="str">
        <f t="shared" si="122"/>
        <v>平成6年9月14日</v>
      </c>
      <c r="I3793" s="22">
        <f t="shared" si="121"/>
        <v>34591</v>
      </c>
      <c r="J3793" s="1" t="str">
        <f>"00745751"</f>
        <v>00745751</v>
      </c>
      <c r="K3793" s="1" t="str">
        <f>"３５６　　　　　　　　　　　　　　　　　"</f>
        <v>３５６　　　　　　　　　　　　　　　　　</v>
      </c>
      <c r="L3793" s="1"/>
    </row>
    <row r="3794" spans="1:12" ht="18" customHeight="1" x14ac:dyDescent="0.15">
      <c r="A3794" s="11">
        <v>4430</v>
      </c>
      <c r="B3794" s="11" t="s">
        <v>100</v>
      </c>
      <c r="C3794" s="11" t="s">
        <v>350</v>
      </c>
      <c r="D3794" s="11">
        <v>1</v>
      </c>
      <c r="E3794" s="11" t="s">
        <v>17</v>
      </c>
      <c r="F3794" s="12">
        <v>35000</v>
      </c>
      <c r="G3794" s="12">
        <v>35000</v>
      </c>
      <c r="H3794" s="11" t="str">
        <f t="shared" si="122"/>
        <v>平成6年9月14日</v>
      </c>
      <c r="I3794" s="22">
        <f t="shared" ref="I3794:I3857" si="123">DATEVALUE(H3794)</f>
        <v>34591</v>
      </c>
      <c r="J3794" s="1" t="str">
        <f>"00745753"</f>
        <v>00745753</v>
      </c>
      <c r="K3794" s="1" t="str">
        <f>"３５７　　　　　　　　　　　　　　　　　"</f>
        <v>３５７　　　　　　　　　　　　　　　　　</v>
      </c>
      <c r="L3794" s="1"/>
    </row>
    <row r="3795" spans="1:12" ht="18" customHeight="1" x14ac:dyDescent="0.15">
      <c r="A3795" s="11">
        <v>4431</v>
      </c>
      <c r="B3795" s="11" t="s">
        <v>100</v>
      </c>
      <c r="C3795" s="11" t="s">
        <v>351</v>
      </c>
      <c r="D3795" s="11">
        <v>1</v>
      </c>
      <c r="E3795" s="11" t="s">
        <v>17</v>
      </c>
      <c r="F3795" s="12">
        <v>31400</v>
      </c>
      <c r="G3795" s="12">
        <v>31400</v>
      </c>
      <c r="H3795" s="11" t="str">
        <f t="shared" si="122"/>
        <v>平成6年9月14日</v>
      </c>
      <c r="I3795" s="22">
        <f t="shared" si="123"/>
        <v>34591</v>
      </c>
      <c r="J3795" s="1" t="str">
        <f>"00745755"</f>
        <v>00745755</v>
      </c>
      <c r="K3795" s="1" t="str">
        <f>"３５９　　　　　　　　　　　　　　　　　"</f>
        <v>３５９　　　　　　　　　　　　　　　　　</v>
      </c>
      <c r="L3795" s="1"/>
    </row>
    <row r="3796" spans="1:12" ht="18" customHeight="1" x14ac:dyDescent="0.15">
      <c r="A3796" s="11">
        <v>4432</v>
      </c>
      <c r="B3796" s="11" t="s">
        <v>100</v>
      </c>
      <c r="C3796" s="11" t="s">
        <v>351</v>
      </c>
      <c r="D3796" s="11">
        <v>1</v>
      </c>
      <c r="E3796" s="11" t="s">
        <v>17</v>
      </c>
      <c r="F3796" s="12">
        <v>31400</v>
      </c>
      <c r="G3796" s="12">
        <v>31400</v>
      </c>
      <c r="H3796" s="11" t="str">
        <f t="shared" si="122"/>
        <v>平成6年9月14日</v>
      </c>
      <c r="I3796" s="22">
        <f t="shared" si="123"/>
        <v>34591</v>
      </c>
      <c r="J3796" s="1" t="str">
        <f>"00745757"</f>
        <v>00745757</v>
      </c>
      <c r="K3796" s="1" t="str">
        <f>"３６０　　　　　　　　　　　　　　　　　"</f>
        <v>３６０　　　　　　　　　　　　　　　　　</v>
      </c>
      <c r="L3796" s="1"/>
    </row>
    <row r="3797" spans="1:12" ht="18" customHeight="1" x14ac:dyDescent="0.15">
      <c r="A3797" s="11">
        <v>4433</v>
      </c>
      <c r="B3797" s="11" t="s">
        <v>100</v>
      </c>
      <c r="C3797" s="11" t="s">
        <v>351</v>
      </c>
      <c r="D3797" s="11">
        <v>1</v>
      </c>
      <c r="E3797" s="11" t="s">
        <v>17</v>
      </c>
      <c r="F3797" s="12">
        <v>31400</v>
      </c>
      <c r="G3797" s="12">
        <v>31400</v>
      </c>
      <c r="H3797" s="11" t="str">
        <f t="shared" si="122"/>
        <v>平成6年9月14日</v>
      </c>
      <c r="I3797" s="22">
        <f t="shared" si="123"/>
        <v>34591</v>
      </c>
      <c r="J3797" s="1" t="str">
        <f>"00745759"</f>
        <v>00745759</v>
      </c>
      <c r="K3797" s="1" t="str">
        <f>"３６１　　　　　　　　　　　　　　　　　"</f>
        <v>３６１　　　　　　　　　　　　　　　　　</v>
      </c>
      <c r="L3797" s="1"/>
    </row>
    <row r="3798" spans="1:12" ht="18" customHeight="1" x14ac:dyDescent="0.15">
      <c r="A3798" s="11">
        <v>4434</v>
      </c>
      <c r="B3798" s="11" t="s">
        <v>100</v>
      </c>
      <c r="C3798" s="11" t="s">
        <v>351</v>
      </c>
      <c r="D3798" s="11">
        <v>1</v>
      </c>
      <c r="E3798" s="11" t="s">
        <v>17</v>
      </c>
      <c r="F3798" s="12">
        <v>31400</v>
      </c>
      <c r="G3798" s="12">
        <v>31400</v>
      </c>
      <c r="H3798" s="11" t="str">
        <f t="shared" si="122"/>
        <v>平成6年9月14日</v>
      </c>
      <c r="I3798" s="22">
        <f t="shared" si="123"/>
        <v>34591</v>
      </c>
      <c r="J3798" s="1" t="str">
        <f>"00745760"</f>
        <v>00745760</v>
      </c>
      <c r="K3798" s="1" t="str">
        <f>"３６２　　　　　　　　　　　　　　　　　"</f>
        <v>３６２　　　　　　　　　　　　　　　　　</v>
      </c>
      <c r="L3798" s="1"/>
    </row>
    <row r="3799" spans="1:12" ht="18" customHeight="1" x14ac:dyDescent="0.15">
      <c r="A3799" s="11">
        <v>4435</v>
      </c>
      <c r="B3799" s="11" t="s">
        <v>100</v>
      </c>
      <c r="C3799" s="11" t="s">
        <v>351</v>
      </c>
      <c r="D3799" s="11">
        <v>1</v>
      </c>
      <c r="E3799" s="11" t="s">
        <v>17</v>
      </c>
      <c r="F3799" s="12">
        <v>31400</v>
      </c>
      <c r="G3799" s="12">
        <v>31400</v>
      </c>
      <c r="H3799" s="11" t="str">
        <f t="shared" si="122"/>
        <v>平成6年9月14日</v>
      </c>
      <c r="I3799" s="22">
        <f t="shared" si="123"/>
        <v>34591</v>
      </c>
      <c r="J3799" s="1" t="str">
        <f>"00745762"</f>
        <v>00745762</v>
      </c>
      <c r="K3799" s="1" t="str">
        <f>"３６３　　　　　　　　　　　　　　　　　"</f>
        <v>３６３　　　　　　　　　　　　　　　　　</v>
      </c>
      <c r="L3799" s="1"/>
    </row>
    <row r="3800" spans="1:12" ht="18" customHeight="1" x14ac:dyDescent="0.15">
      <c r="A3800" s="11">
        <v>4436</v>
      </c>
      <c r="B3800" s="11" t="s">
        <v>100</v>
      </c>
      <c r="C3800" s="11" t="s">
        <v>351</v>
      </c>
      <c r="D3800" s="11">
        <v>1</v>
      </c>
      <c r="E3800" s="11" t="s">
        <v>17</v>
      </c>
      <c r="F3800" s="12">
        <v>31400</v>
      </c>
      <c r="G3800" s="12">
        <v>31400</v>
      </c>
      <c r="H3800" s="11" t="str">
        <f t="shared" si="122"/>
        <v>平成6年9月14日</v>
      </c>
      <c r="I3800" s="22">
        <f t="shared" si="123"/>
        <v>34591</v>
      </c>
      <c r="J3800" s="1" t="str">
        <f>"00745764"</f>
        <v>00745764</v>
      </c>
      <c r="K3800" s="1" t="str">
        <f>"３６４　　　　　　　　　　　　　　　　　"</f>
        <v>３６４　　　　　　　　　　　　　　　　　</v>
      </c>
      <c r="L3800" s="1"/>
    </row>
    <row r="3801" spans="1:12" ht="18" customHeight="1" x14ac:dyDescent="0.15">
      <c r="A3801" s="11">
        <v>4437</v>
      </c>
      <c r="B3801" s="11" t="s">
        <v>100</v>
      </c>
      <c r="C3801" s="11" t="s">
        <v>351</v>
      </c>
      <c r="D3801" s="11">
        <v>1</v>
      </c>
      <c r="E3801" s="11" t="s">
        <v>17</v>
      </c>
      <c r="F3801" s="12">
        <v>31400</v>
      </c>
      <c r="G3801" s="12">
        <v>31400</v>
      </c>
      <c r="H3801" s="11" t="str">
        <f t="shared" si="122"/>
        <v>平成6年9月14日</v>
      </c>
      <c r="I3801" s="22">
        <f t="shared" si="123"/>
        <v>34591</v>
      </c>
      <c r="J3801" s="1" t="str">
        <f>"00745766"</f>
        <v>00745766</v>
      </c>
      <c r="K3801" s="1" t="str">
        <f>"３６５　　　　　　　　　　　　　　　　　"</f>
        <v>３６５　　　　　　　　　　　　　　　　　</v>
      </c>
      <c r="L3801" s="1"/>
    </row>
    <row r="3802" spans="1:12" ht="18" customHeight="1" x14ac:dyDescent="0.15">
      <c r="A3802" s="11">
        <v>4438</v>
      </c>
      <c r="B3802" s="11" t="s">
        <v>100</v>
      </c>
      <c r="C3802" s="11" t="s">
        <v>351</v>
      </c>
      <c r="D3802" s="11">
        <v>1</v>
      </c>
      <c r="E3802" s="11" t="s">
        <v>17</v>
      </c>
      <c r="F3802" s="12">
        <v>31400</v>
      </c>
      <c r="G3802" s="12">
        <v>31400</v>
      </c>
      <c r="H3802" s="11" t="str">
        <f t="shared" si="122"/>
        <v>平成6年9月14日</v>
      </c>
      <c r="I3802" s="22">
        <f t="shared" si="123"/>
        <v>34591</v>
      </c>
      <c r="J3802" s="1" t="str">
        <f>"00745768"</f>
        <v>00745768</v>
      </c>
      <c r="K3802" s="1" t="str">
        <f>"３６６　　　　　　　　　　　　　　　　　"</f>
        <v>３６６　　　　　　　　　　　　　　　　　</v>
      </c>
      <c r="L3802" s="1"/>
    </row>
    <row r="3803" spans="1:12" ht="18" customHeight="1" x14ac:dyDescent="0.15">
      <c r="A3803" s="11">
        <v>4439</v>
      </c>
      <c r="B3803" s="11" t="s">
        <v>100</v>
      </c>
      <c r="C3803" s="11" t="s">
        <v>351</v>
      </c>
      <c r="D3803" s="11">
        <v>1</v>
      </c>
      <c r="E3803" s="11" t="s">
        <v>17</v>
      </c>
      <c r="F3803" s="12">
        <v>31400</v>
      </c>
      <c r="G3803" s="12">
        <v>31400</v>
      </c>
      <c r="H3803" s="11" t="str">
        <f t="shared" si="122"/>
        <v>平成6年9月14日</v>
      </c>
      <c r="I3803" s="22">
        <f t="shared" si="123"/>
        <v>34591</v>
      </c>
      <c r="J3803" s="1" t="str">
        <f>"00745770"</f>
        <v>00745770</v>
      </c>
      <c r="K3803" s="1" t="str">
        <f>"３６７　　　　　　　　　　　　　　　　　"</f>
        <v>３６７　　　　　　　　　　　　　　　　　</v>
      </c>
      <c r="L3803" s="1"/>
    </row>
    <row r="3804" spans="1:12" ht="18" customHeight="1" x14ac:dyDescent="0.15">
      <c r="A3804" s="11">
        <v>4440</v>
      </c>
      <c r="B3804" s="11" t="s">
        <v>100</v>
      </c>
      <c r="C3804" s="11" t="s">
        <v>351</v>
      </c>
      <c r="D3804" s="11">
        <v>1</v>
      </c>
      <c r="E3804" s="11" t="s">
        <v>17</v>
      </c>
      <c r="F3804" s="12">
        <v>31400</v>
      </c>
      <c r="G3804" s="12">
        <v>31400</v>
      </c>
      <c r="H3804" s="11" t="str">
        <f t="shared" si="122"/>
        <v>平成6年9月14日</v>
      </c>
      <c r="I3804" s="22">
        <f t="shared" si="123"/>
        <v>34591</v>
      </c>
      <c r="J3804" s="1" t="str">
        <f>"00745772"</f>
        <v>00745772</v>
      </c>
      <c r="K3804" s="1" t="str">
        <f>"３６８　　　　　　　　　　　　　　　　　"</f>
        <v>３６８　　　　　　　　　　　　　　　　　</v>
      </c>
      <c r="L3804" s="1"/>
    </row>
    <row r="3805" spans="1:12" ht="18" customHeight="1" x14ac:dyDescent="0.15">
      <c r="A3805" s="11">
        <v>4441</v>
      </c>
      <c r="B3805" s="11" t="s">
        <v>100</v>
      </c>
      <c r="C3805" s="11" t="s">
        <v>352</v>
      </c>
      <c r="D3805" s="11">
        <v>1</v>
      </c>
      <c r="E3805" s="11" t="s">
        <v>17</v>
      </c>
      <c r="F3805" s="12">
        <v>20200</v>
      </c>
      <c r="G3805" s="12">
        <v>20200</v>
      </c>
      <c r="H3805" s="11" t="str">
        <f t="shared" si="122"/>
        <v>平成6年9月14日</v>
      </c>
      <c r="I3805" s="22">
        <f t="shared" si="123"/>
        <v>34591</v>
      </c>
      <c r="J3805" s="1" t="str">
        <f>"00745774"</f>
        <v>00745774</v>
      </c>
      <c r="K3805" s="1" t="str">
        <f>"３６９　　　　　　　　　　　　　　　　　"</f>
        <v>３６９　　　　　　　　　　　　　　　　　</v>
      </c>
      <c r="L3805" s="1"/>
    </row>
    <row r="3806" spans="1:12" ht="18" customHeight="1" x14ac:dyDescent="0.15">
      <c r="A3806" s="11">
        <v>4442</v>
      </c>
      <c r="B3806" s="11" t="s">
        <v>100</v>
      </c>
      <c r="C3806" s="11" t="s">
        <v>352</v>
      </c>
      <c r="D3806" s="11">
        <v>1</v>
      </c>
      <c r="E3806" s="11" t="s">
        <v>17</v>
      </c>
      <c r="F3806" s="12">
        <v>20200</v>
      </c>
      <c r="G3806" s="12">
        <v>20200</v>
      </c>
      <c r="H3806" s="11" t="str">
        <f t="shared" si="122"/>
        <v>平成6年9月14日</v>
      </c>
      <c r="I3806" s="22">
        <f t="shared" si="123"/>
        <v>34591</v>
      </c>
      <c r="J3806" s="1" t="str">
        <f>"00745776"</f>
        <v>00745776</v>
      </c>
      <c r="K3806" s="1" t="str">
        <f>"３７０　　　　　　　　　　　　　　　　　"</f>
        <v>３７０　　　　　　　　　　　　　　　　　</v>
      </c>
      <c r="L3806" s="1"/>
    </row>
    <row r="3807" spans="1:12" ht="18" customHeight="1" x14ac:dyDescent="0.15">
      <c r="A3807" s="11">
        <v>4443</v>
      </c>
      <c r="B3807" s="11" t="s">
        <v>100</v>
      </c>
      <c r="C3807" s="11" t="s">
        <v>352</v>
      </c>
      <c r="D3807" s="11">
        <v>1</v>
      </c>
      <c r="E3807" s="11" t="s">
        <v>17</v>
      </c>
      <c r="F3807" s="12">
        <v>20200</v>
      </c>
      <c r="G3807" s="12">
        <v>20200</v>
      </c>
      <c r="H3807" s="11" t="str">
        <f t="shared" si="122"/>
        <v>平成6年9月14日</v>
      </c>
      <c r="I3807" s="22">
        <f t="shared" si="123"/>
        <v>34591</v>
      </c>
      <c r="J3807" s="1" t="str">
        <f>"00745778"</f>
        <v>00745778</v>
      </c>
      <c r="K3807" s="1" t="str">
        <f>"３７１　　　　　　　　　　　　　　　　　"</f>
        <v>３７１　　　　　　　　　　　　　　　　　</v>
      </c>
      <c r="L3807" s="1"/>
    </row>
    <row r="3808" spans="1:12" ht="18" customHeight="1" x14ac:dyDescent="0.15">
      <c r="A3808" s="11">
        <v>4444</v>
      </c>
      <c r="B3808" s="11" t="s">
        <v>100</v>
      </c>
      <c r="C3808" s="11" t="s">
        <v>352</v>
      </c>
      <c r="D3808" s="11">
        <v>1</v>
      </c>
      <c r="E3808" s="11" t="s">
        <v>17</v>
      </c>
      <c r="F3808" s="12">
        <v>20200</v>
      </c>
      <c r="G3808" s="12">
        <v>20200</v>
      </c>
      <c r="H3808" s="11" t="str">
        <f t="shared" si="122"/>
        <v>平成6年9月14日</v>
      </c>
      <c r="I3808" s="22">
        <f t="shared" si="123"/>
        <v>34591</v>
      </c>
      <c r="J3808" s="1" t="str">
        <f>"00745780"</f>
        <v>00745780</v>
      </c>
      <c r="K3808" s="1" t="str">
        <f>"３７２　　　　　　　　　　　　　　　　　"</f>
        <v>３７２　　　　　　　　　　　　　　　　　</v>
      </c>
      <c r="L3808" s="1"/>
    </row>
    <row r="3809" spans="1:12" ht="18" customHeight="1" x14ac:dyDescent="0.15">
      <c r="A3809" s="11">
        <v>4445</v>
      </c>
      <c r="B3809" s="11" t="s">
        <v>100</v>
      </c>
      <c r="C3809" s="11" t="s">
        <v>352</v>
      </c>
      <c r="D3809" s="11">
        <v>1</v>
      </c>
      <c r="E3809" s="11" t="s">
        <v>17</v>
      </c>
      <c r="F3809" s="12">
        <v>20200</v>
      </c>
      <c r="G3809" s="12">
        <v>20200</v>
      </c>
      <c r="H3809" s="11" t="str">
        <f t="shared" si="122"/>
        <v>平成6年9月14日</v>
      </c>
      <c r="I3809" s="22">
        <f t="shared" si="123"/>
        <v>34591</v>
      </c>
      <c r="J3809" s="1" t="str">
        <f>"00745782"</f>
        <v>00745782</v>
      </c>
      <c r="K3809" s="1" t="str">
        <f>"３７３　　　　　　　　　　　　　　　　　"</f>
        <v>３７３　　　　　　　　　　　　　　　　　</v>
      </c>
      <c r="L3809" s="1"/>
    </row>
    <row r="3810" spans="1:12" ht="18" customHeight="1" x14ac:dyDescent="0.15">
      <c r="A3810" s="11">
        <v>4446</v>
      </c>
      <c r="B3810" s="11" t="s">
        <v>100</v>
      </c>
      <c r="C3810" s="11" t="s">
        <v>352</v>
      </c>
      <c r="D3810" s="11">
        <v>1</v>
      </c>
      <c r="E3810" s="11" t="s">
        <v>17</v>
      </c>
      <c r="F3810" s="12">
        <v>20200</v>
      </c>
      <c r="G3810" s="12">
        <v>20200</v>
      </c>
      <c r="H3810" s="11" t="str">
        <f t="shared" si="122"/>
        <v>平成6年9月14日</v>
      </c>
      <c r="I3810" s="22">
        <f t="shared" si="123"/>
        <v>34591</v>
      </c>
      <c r="J3810" s="1" t="str">
        <f>"00745784"</f>
        <v>00745784</v>
      </c>
      <c r="K3810" s="1" t="str">
        <f>"３７４　　　　　　　　　　　　　　　　　"</f>
        <v>３７４　　　　　　　　　　　　　　　　　</v>
      </c>
      <c r="L3810" s="1"/>
    </row>
    <row r="3811" spans="1:12" ht="18" customHeight="1" x14ac:dyDescent="0.15">
      <c r="A3811" s="11">
        <v>4447</v>
      </c>
      <c r="B3811" s="11" t="s">
        <v>100</v>
      </c>
      <c r="C3811" s="11" t="s">
        <v>352</v>
      </c>
      <c r="D3811" s="11">
        <v>1</v>
      </c>
      <c r="E3811" s="11" t="s">
        <v>17</v>
      </c>
      <c r="F3811" s="12">
        <v>20200</v>
      </c>
      <c r="G3811" s="12">
        <v>20200</v>
      </c>
      <c r="H3811" s="11" t="str">
        <f t="shared" si="122"/>
        <v>平成6年9月14日</v>
      </c>
      <c r="I3811" s="22">
        <f t="shared" si="123"/>
        <v>34591</v>
      </c>
      <c r="J3811" s="1" t="str">
        <f>"00745786"</f>
        <v>00745786</v>
      </c>
      <c r="K3811" s="1" t="str">
        <f>"３７５　　　　　　　　　　　　　　　　　"</f>
        <v>３７５　　　　　　　　　　　　　　　　　</v>
      </c>
      <c r="L3811" s="1"/>
    </row>
    <row r="3812" spans="1:12" ht="18" customHeight="1" x14ac:dyDescent="0.15">
      <c r="A3812" s="11">
        <v>4448</v>
      </c>
      <c r="B3812" s="11" t="s">
        <v>100</v>
      </c>
      <c r="C3812" s="11" t="s">
        <v>352</v>
      </c>
      <c r="D3812" s="11">
        <v>1</v>
      </c>
      <c r="E3812" s="11" t="s">
        <v>17</v>
      </c>
      <c r="F3812" s="12">
        <v>20200</v>
      </c>
      <c r="G3812" s="12">
        <v>20200</v>
      </c>
      <c r="H3812" s="11" t="str">
        <f t="shared" si="122"/>
        <v>平成6年9月14日</v>
      </c>
      <c r="I3812" s="22">
        <f t="shared" si="123"/>
        <v>34591</v>
      </c>
      <c r="J3812" s="1" t="str">
        <f>"00745788"</f>
        <v>00745788</v>
      </c>
      <c r="K3812" s="1" t="str">
        <f>"３７６　　　　　　　　　　　　　　　　　"</f>
        <v>３７６　　　　　　　　　　　　　　　　　</v>
      </c>
      <c r="L3812" s="1"/>
    </row>
    <row r="3813" spans="1:12" ht="18" customHeight="1" x14ac:dyDescent="0.15">
      <c r="A3813" s="11">
        <v>4449</v>
      </c>
      <c r="B3813" s="11" t="s">
        <v>100</v>
      </c>
      <c r="C3813" s="11" t="s">
        <v>352</v>
      </c>
      <c r="D3813" s="11">
        <v>1</v>
      </c>
      <c r="E3813" s="11" t="s">
        <v>17</v>
      </c>
      <c r="F3813" s="12">
        <v>20200</v>
      </c>
      <c r="G3813" s="12">
        <v>20200</v>
      </c>
      <c r="H3813" s="11" t="str">
        <f t="shared" si="122"/>
        <v>平成6年9月14日</v>
      </c>
      <c r="I3813" s="22">
        <f t="shared" si="123"/>
        <v>34591</v>
      </c>
      <c r="J3813" s="1" t="str">
        <f>"00745790"</f>
        <v>00745790</v>
      </c>
      <c r="K3813" s="1" t="str">
        <f>"３７７　　　　　　　　　　　　　　　　　"</f>
        <v>３７７　　　　　　　　　　　　　　　　　</v>
      </c>
      <c r="L3813" s="1"/>
    </row>
    <row r="3814" spans="1:12" ht="18" customHeight="1" x14ac:dyDescent="0.15">
      <c r="A3814" s="11">
        <v>4450</v>
      </c>
      <c r="B3814" s="11" t="s">
        <v>100</v>
      </c>
      <c r="C3814" s="11" t="s">
        <v>352</v>
      </c>
      <c r="D3814" s="11">
        <v>1</v>
      </c>
      <c r="E3814" s="11" t="s">
        <v>17</v>
      </c>
      <c r="F3814" s="12">
        <v>20200</v>
      </c>
      <c r="G3814" s="12">
        <v>20200</v>
      </c>
      <c r="H3814" s="11" t="str">
        <f t="shared" si="122"/>
        <v>平成6年9月14日</v>
      </c>
      <c r="I3814" s="22">
        <f t="shared" si="123"/>
        <v>34591</v>
      </c>
      <c r="J3814" s="1" t="str">
        <f>"00745792"</f>
        <v>00745792</v>
      </c>
      <c r="K3814" s="1" t="str">
        <f>"３７８　　　　　　　　　　　　　　　　　"</f>
        <v>３７８　　　　　　　　　　　　　　　　　</v>
      </c>
      <c r="L3814" s="1"/>
    </row>
    <row r="3815" spans="1:12" ht="18" customHeight="1" x14ac:dyDescent="0.15">
      <c r="A3815" s="11">
        <v>4451</v>
      </c>
      <c r="B3815" s="11" t="s">
        <v>100</v>
      </c>
      <c r="C3815" s="11" t="s">
        <v>352</v>
      </c>
      <c r="D3815" s="11">
        <v>1</v>
      </c>
      <c r="E3815" s="11" t="s">
        <v>17</v>
      </c>
      <c r="F3815" s="12">
        <v>20200</v>
      </c>
      <c r="G3815" s="12">
        <v>20200</v>
      </c>
      <c r="H3815" s="11" t="str">
        <f t="shared" si="122"/>
        <v>平成6年9月14日</v>
      </c>
      <c r="I3815" s="22">
        <f t="shared" si="123"/>
        <v>34591</v>
      </c>
      <c r="J3815" s="1" t="str">
        <f>"00745794"</f>
        <v>00745794</v>
      </c>
      <c r="K3815" s="1" t="str">
        <f>"３７９　　　　　　　　　　　　　　　　　"</f>
        <v>３７９　　　　　　　　　　　　　　　　　</v>
      </c>
      <c r="L3815" s="1"/>
    </row>
    <row r="3816" spans="1:12" ht="18" customHeight="1" x14ac:dyDescent="0.15">
      <c r="A3816" s="11">
        <v>4452</v>
      </c>
      <c r="B3816" s="11" t="s">
        <v>100</v>
      </c>
      <c r="C3816" s="11" t="s">
        <v>352</v>
      </c>
      <c r="D3816" s="11">
        <v>1</v>
      </c>
      <c r="E3816" s="11" t="s">
        <v>17</v>
      </c>
      <c r="F3816" s="12">
        <v>20200</v>
      </c>
      <c r="G3816" s="12">
        <v>20200</v>
      </c>
      <c r="H3816" s="11" t="str">
        <f t="shared" si="122"/>
        <v>平成6年9月14日</v>
      </c>
      <c r="I3816" s="22">
        <f t="shared" si="123"/>
        <v>34591</v>
      </c>
      <c r="J3816" s="1" t="str">
        <f>"00745796"</f>
        <v>00745796</v>
      </c>
      <c r="K3816" s="1" t="str">
        <f>"３８０　　　　　　　　　　　　　　　　　"</f>
        <v>３８０　　　　　　　　　　　　　　　　　</v>
      </c>
      <c r="L3816" s="1"/>
    </row>
    <row r="3817" spans="1:12" ht="18" customHeight="1" x14ac:dyDescent="0.15">
      <c r="A3817" s="11">
        <v>4453</v>
      </c>
      <c r="B3817" s="11" t="s">
        <v>100</v>
      </c>
      <c r="C3817" s="11" t="s">
        <v>352</v>
      </c>
      <c r="D3817" s="11">
        <v>1</v>
      </c>
      <c r="E3817" s="11" t="s">
        <v>17</v>
      </c>
      <c r="F3817" s="12">
        <v>20200</v>
      </c>
      <c r="G3817" s="12">
        <v>20200</v>
      </c>
      <c r="H3817" s="11" t="str">
        <f t="shared" si="122"/>
        <v>平成6年9月14日</v>
      </c>
      <c r="I3817" s="22">
        <f t="shared" si="123"/>
        <v>34591</v>
      </c>
      <c r="J3817" s="1" t="str">
        <f>"00745798"</f>
        <v>00745798</v>
      </c>
      <c r="K3817" s="1" t="str">
        <f>"３８１　　　　　　　　　　　　　　　　　"</f>
        <v>３８１　　　　　　　　　　　　　　　　　</v>
      </c>
      <c r="L3817" s="1"/>
    </row>
    <row r="3818" spans="1:12" ht="18" customHeight="1" x14ac:dyDescent="0.15">
      <c r="A3818" s="11">
        <v>4454</v>
      </c>
      <c r="B3818" s="11" t="s">
        <v>100</v>
      </c>
      <c r="C3818" s="11" t="s">
        <v>352</v>
      </c>
      <c r="D3818" s="11">
        <v>1</v>
      </c>
      <c r="E3818" s="11" t="s">
        <v>17</v>
      </c>
      <c r="F3818" s="12">
        <v>20200</v>
      </c>
      <c r="G3818" s="12">
        <v>20200</v>
      </c>
      <c r="H3818" s="11" t="str">
        <f t="shared" si="122"/>
        <v>平成6年9月14日</v>
      </c>
      <c r="I3818" s="22">
        <f t="shared" si="123"/>
        <v>34591</v>
      </c>
      <c r="J3818" s="1" t="str">
        <f>"00745800"</f>
        <v>00745800</v>
      </c>
      <c r="K3818" s="1" t="str">
        <f>"３８２　　　　　　　　　　　　　　　　　"</f>
        <v>３８２　　　　　　　　　　　　　　　　　</v>
      </c>
      <c r="L3818" s="1"/>
    </row>
    <row r="3819" spans="1:12" ht="18" customHeight="1" x14ac:dyDescent="0.15">
      <c r="A3819" s="11">
        <v>4455</v>
      </c>
      <c r="B3819" s="11" t="s">
        <v>100</v>
      </c>
      <c r="C3819" s="11" t="s">
        <v>352</v>
      </c>
      <c r="D3819" s="11">
        <v>1</v>
      </c>
      <c r="E3819" s="11" t="s">
        <v>17</v>
      </c>
      <c r="F3819" s="12">
        <v>20200</v>
      </c>
      <c r="G3819" s="12">
        <v>20200</v>
      </c>
      <c r="H3819" s="11" t="str">
        <f t="shared" si="122"/>
        <v>平成6年9月14日</v>
      </c>
      <c r="I3819" s="22">
        <f t="shared" si="123"/>
        <v>34591</v>
      </c>
      <c r="J3819" s="1" t="str">
        <f>"00745802"</f>
        <v>00745802</v>
      </c>
      <c r="K3819" s="1" t="str">
        <f>"３８３　　　　　　　　　　　　　　　　　"</f>
        <v>３８３　　　　　　　　　　　　　　　　　</v>
      </c>
      <c r="L3819" s="1"/>
    </row>
    <row r="3820" spans="1:12" ht="18" customHeight="1" x14ac:dyDescent="0.15">
      <c r="A3820" s="11">
        <v>4456</v>
      </c>
      <c r="B3820" s="11" t="s">
        <v>100</v>
      </c>
      <c r="C3820" s="11" t="s">
        <v>352</v>
      </c>
      <c r="D3820" s="11">
        <v>1</v>
      </c>
      <c r="E3820" s="11" t="s">
        <v>17</v>
      </c>
      <c r="F3820" s="12">
        <v>20200</v>
      </c>
      <c r="G3820" s="12">
        <v>20200</v>
      </c>
      <c r="H3820" s="11" t="str">
        <f t="shared" si="122"/>
        <v>平成6年9月14日</v>
      </c>
      <c r="I3820" s="22">
        <f t="shared" si="123"/>
        <v>34591</v>
      </c>
      <c r="J3820" s="1" t="str">
        <f>"00745804"</f>
        <v>00745804</v>
      </c>
      <c r="K3820" s="1" t="str">
        <f>"３８４　　　　　　　　　　　　　　　　　"</f>
        <v>３８４　　　　　　　　　　　　　　　　　</v>
      </c>
      <c r="L3820" s="1"/>
    </row>
    <row r="3821" spans="1:12" ht="18" customHeight="1" x14ac:dyDescent="0.15">
      <c r="A3821" s="11">
        <v>4457</v>
      </c>
      <c r="B3821" s="11" t="s">
        <v>100</v>
      </c>
      <c r="C3821" s="11" t="s">
        <v>352</v>
      </c>
      <c r="D3821" s="11">
        <v>1</v>
      </c>
      <c r="E3821" s="11" t="s">
        <v>17</v>
      </c>
      <c r="F3821" s="12">
        <v>20200</v>
      </c>
      <c r="G3821" s="12">
        <v>20200</v>
      </c>
      <c r="H3821" s="11" t="str">
        <f t="shared" si="122"/>
        <v>平成6年9月14日</v>
      </c>
      <c r="I3821" s="22">
        <f t="shared" si="123"/>
        <v>34591</v>
      </c>
      <c r="J3821" s="1" t="str">
        <f>"00745806"</f>
        <v>00745806</v>
      </c>
      <c r="K3821" s="1" t="str">
        <f>"３８５　　　　　　　　　　　　　　　　　"</f>
        <v>３８５　　　　　　　　　　　　　　　　　</v>
      </c>
      <c r="L3821" s="1"/>
    </row>
    <row r="3822" spans="1:12" ht="18" customHeight="1" x14ac:dyDescent="0.15">
      <c r="A3822" s="11">
        <v>4458</v>
      </c>
      <c r="B3822" s="11" t="s">
        <v>100</v>
      </c>
      <c r="C3822" s="11" t="s">
        <v>352</v>
      </c>
      <c r="D3822" s="11">
        <v>1</v>
      </c>
      <c r="E3822" s="11" t="s">
        <v>17</v>
      </c>
      <c r="F3822" s="12">
        <v>20200</v>
      </c>
      <c r="G3822" s="12">
        <v>20200</v>
      </c>
      <c r="H3822" s="11" t="str">
        <f t="shared" si="122"/>
        <v>平成6年9月14日</v>
      </c>
      <c r="I3822" s="22">
        <f t="shared" si="123"/>
        <v>34591</v>
      </c>
      <c r="J3822" s="1" t="str">
        <f>"00745808"</f>
        <v>00745808</v>
      </c>
      <c r="K3822" s="1" t="str">
        <f>"３８６　　　　　　　　　　　　　　　　　"</f>
        <v>３８６　　　　　　　　　　　　　　　　　</v>
      </c>
      <c r="L3822" s="1"/>
    </row>
    <row r="3823" spans="1:12" ht="18" customHeight="1" x14ac:dyDescent="0.15">
      <c r="A3823" s="11">
        <v>4459</v>
      </c>
      <c r="B3823" s="11" t="s">
        <v>100</v>
      </c>
      <c r="C3823" s="11" t="s">
        <v>352</v>
      </c>
      <c r="D3823" s="11">
        <v>1</v>
      </c>
      <c r="E3823" s="11" t="s">
        <v>17</v>
      </c>
      <c r="F3823" s="12">
        <v>20200</v>
      </c>
      <c r="G3823" s="12">
        <v>20200</v>
      </c>
      <c r="H3823" s="11" t="str">
        <f t="shared" si="122"/>
        <v>平成6年9月14日</v>
      </c>
      <c r="I3823" s="22">
        <f t="shared" si="123"/>
        <v>34591</v>
      </c>
      <c r="J3823" s="1" t="str">
        <f>"00745810"</f>
        <v>00745810</v>
      </c>
      <c r="K3823" s="1" t="str">
        <f>"３８７　　　　　　　　　　　　　　　　　"</f>
        <v>３８７　　　　　　　　　　　　　　　　　</v>
      </c>
      <c r="L3823" s="1"/>
    </row>
    <row r="3824" spans="1:12" ht="18" customHeight="1" x14ac:dyDescent="0.15">
      <c r="A3824" s="11">
        <v>4460</v>
      </c>
      <c r="B3824" s="11" t="s">
        <v>100</v>
      </c>
      <c r="C3824" s="11" t="s">
        <v>352</v>
      </c>
      <c r="D3824" s="11">
        <v>1</v>
      </c>
      <c r="E3824" s="11" t="s">
        <v>17</v>
      </c>
      <c r="F3824" s="12">
        <v>20200</v>
      </c>
      <c r="G3824" s="12">
        <v>20200</v>
      </c>
      <c r="H3824" s="11" t="str">
        <f t="shared" si="122"/>
        <v>平成6年9月14日</v>
      </c>
      <c r="I3824" s="22">
        <f t="shared" si="123"/>
        <v>34591</v>
      </c>
      <c r="J3824" s="1" t="str">
        <f>"00745812"</f>
        <v>00745812</v>
      </c>
      <c r="K3824" s="1" t="str">
        <f>"３８８　　　　　　　　　　　　　　　　　"</f>
        <v>３８８　　　　　　　　　　　　　　　　　</v>
      </c>
      <c r="L3824" s="1"/>
    </row>
    <row r="3825" spans="1:12" ht="18" customHeight="1" x14ac:dyDescent="0.15">
      <c r="A3825" s="25">
        <v>4467</v>
      </c>
      <c r="B3825" s="25" t="s">
        <v>360</v>
      </c>
      <c r="C3825" s="25" t="s">
        <v>361</v>
      </c>
      <c r="D3825" s="25">
        <v>1</v>
      </c>
      <c r="E3825" s="25" t="s">
        <v>21</v>
      </c>
      <c r="F3825" s="38">
        <v>21630</v>
      </c>
      <c r="G3825" s="38" t="s">
        <v>668</v>
      </c>
      <c r="H3825" s="25" t="str">
        <f t="shared" si="122"/>
        <v>平成6年9月14日</v>
      </c>
      <c r="I3825" s="22">
        <f t="shared" si="123"/>
        <v>34591</v>
      </c>
      <c r="J3825" s="1" t="str">
        <f>"00745841"</f>
        <v>00745841</v>
      </c>
      <c r="K3825" s="1" t="str">
        <f>"３０７　　　　　　　　　　　　　　　　　"</f>
        <v>３０７　　　　　　　　　　　　　　　　　</v>
      </c>
      <c r="L3825" s="1"/>
    </row>
    <row r="3826" spans="1:12" ht="18" customHeight="1" x14ac:dyDescent="0.15">
      <c r="A3826" s="25">
        <v>4468</v>
      </c>
      <c r="B3826" s="25" t="s">
        <v>360</v>
      </c>
      <c r="C3826" s="25" t="s">
        <v>361</v>
      </c>
      <c r="D3826" s="25">
        <v>1</v>
      </c>
      <c r="E3826" s="25" t="s">
        <v>21</v>
      </c>
      <c r="F3826" s="38">
        <v>21630</v>
      </c>
      <c r="G3826" s="38" t="s">
        <v>668</v>
      </c>
      <c r="H3826" s="25" t="str">
        <f t="shared" si="122"/>
        <v>平成6年9月14日</v>
      </c>
      <c r="I3826" s="22">
        <f t="shared" si="123"/>
        <v>34591</v>
      </c>
      <c r="J3826" s="1" t="str">
        <f>"00745843"</f>
        <v>00745843</v>
      </c>
      <c r="K3826" s="1" t="str">
        <f>"３０８　　　　　　　　　　　　　　　　　"</f>
        <v>３０８　　　　　　　　　　　　　　　　　</v>
      </c>
      <c r="L3826" s="1"/>
    </row>
    <row r="3827" spans="1:12" ht="18" customHeight="1" x14ac:dyDescent="0.15">
      <c r="A3827" s="25">
        <v>4469</v>
      </c>
      <c r="B3827" s="25" t="s">
        <v>360</v>
      </c>
      <c r="C3827" s="25" t="s">
        <v>361</v>
      </c>
      <c r="D3827" s="25">
        <v>1</v>
      </c>
      <c r="E3827" s="25" t="s">
        <v>21</v>
      </c>
      <c r="F3827" s="38">
        <v>21630</v>
      </c>
      <c r="G3827" s="38" t="s">
        <v>668</v>
      </c>
      <c r="H3827" s="25" t="str">
        <f t="shared" si="122"/>
        <v>平成6年9月14日</v>
      </c>
      <c r="I3827" s="22">
        <f t="shared" si="123"/>
        <v>34591</v>
      </c>
      <c r="J3827" s="1" t="str">
        <f>"00745845"</f>
        <v>00745845</v>
      </c>
      <c r="K3827" s="1" t="str">
        <f>"３０９　　　　　　　　　　　　　　　　　"</f>
        <v>３０９　　　　　　　　　　　　　　　　　</v>
      </c>
      <c r="L3827" s="1"/>
    </row>
    <row r="3828" spans="1:12" ht="18" customHeight="1" x14ac:dyDescent="0.15">
      <c r="A3828" s="25">
        <v>4470</v>
      </c>
      <c r="B3828" s="25" t="s">
        <v>360</v>
      </c>
      <c r="C3828" s="25" t="s">
        <v>361</v>
      </c>
      <c r="D3828" s="25">
        <v>1</v>
      </c>
      <c r="E3828" s="25" t="s">
        <v>21</v>
      </c>
      <c r="F3828" s="38">
        <v>21630</v>
      </c>
      <c r="G3828" s="38" t="s">
        <v>668</v>
      </c>
      <c r="H3828" s="25" t="str">
        <f t="shared" si="122"/>
        <v>平成6年9月14日</v>
      </c>
      <c r="I3828" s="22">
        <f t="shared" si="123"/>
        <v>34591</v>
      </c>
      <c r="J3828" s="1" t="str">
        <f>"00745847"</f>
        <v>00745847</v>
      </c>
      <c r="K3828" s="1" t="str">
        <f>"３１０　　　　　　　　　　　　　　　　　"</f>
        <v>３１０　　　　　　　　　　　　　　　　　</v>
      </c>
      <c r="L3828" s="1"/>
    </row>
    <row r="3829" spans="1:12" ht="18" customHeight="1" x14ac:dyDescent="0.15">
      <c r="A3829" s="25">
        <v>4471</v>
      </c>
      <c r="B3829" s="25" t="s">
        <v>360</v>
      </c>
      <c r="C3829" s="25" t="s">
        <v>361</v>
      </c>
      <c r="D3829" s="25">
        <v>1</v>
      </c>
      <c r="E3829" s="25" t="s">
        <v>21</v>
      </c>
      <c r="F3829" s="38">
        <v>21630</v>
      </c>
      <c r="G3829" s="38" t="s">
        <v>668</v>
      </c>
      <c r="H3829" s="25" t="str">
        <f t="shared" si="122"/>
        <v>平成6年9月14日</v>
      </c>
      <c r="I3829" s="22">
        <f t="shared" si="123"/>
        <v>34591</v>
      </c>
      <c r="J3829" s="1" t="str">
        <f>"00745849"</f>
        <v>00745849</v>
      </c>
      <c r="K3829" s="1" t="str">
        <f>"３１１　　　　　　　　　　　　　　　　　"</f>
        <v>３１１　　　　　　　　　　　　　　　　　</v>
      </c>
      <c r="L3829" s="1"/>
    </row>
    <row r="3830" spans="1:12" ht="18" customHeight="1" x14ac:dyDescent="0.15">
      <c r="A3830" s="25">
        <v>4472</v>
      </c>
      <c r="B3830" s="25" t="s">
        <v>360</v>
      </c>
      <c r="C3830" s="25" t="s">
        <v>361</v>
      </c>
      <c r="D3830" s="25">
        <v>1</v>
      </c>
      <c r="E3830" s="25" t="s">
        <v>21</v>
      </c>
      <c r="F3830" s="38">
        <v>21630</v>
      </c>
      <c r="G3830" s="38" t="s">
        <v>668</v>
      </c>
      <c r="H3830" s="25" t="str">
        <f t="shared" si="122"/>
        <v>平成6年9月14日</v>
      </c>
      <c r="I3830" s="22">
        <f t="shared" si="123"/>
        <v>34591</v>
      </c>
      <c r="J3830" s="1" t="str">
        <f>"00745851"</f>
        <v>00745851</v>
      </c>
      <c r="K3830" s="1" t="str">
        <f>"３１２　　　　　　　　　　　　　　　　　"</f>
        <v>３１２　　　　　　　　　　　　　　　　　</v>
      </c>
      <c r="L3830" s="1"/>
    </row>
    <row r="3831" spans="1:12" ht="18" customHeight="1" x14ac:dyDescent="0.15">
      <c r="A3831" s="25">
        <v>4473</v>
      </c>
      <c r="B3831" s="25" t="s">
        <v>360</v>
      </c>
      <c r="C3831" s="25" t="s">
        <v>361</v>
      </c>
      <c r="D3831" s="25">
        <v>1</v>
      </c>
      <c r="E3831" s="25" t="s">
        <v>21</v>
      </c>
      <c r="F3831" s="38">
        <v>21630</v>
      </c>
      <c r="G3831" s="38" t="s">
        <v>668</v>
      </c>
      <c r="H3831" s="25" t="str">
        <f t="shared" si="122"/>
        <v>平成6年9月14日</v>
      </c>
      <c r="I3831" s="22">
        <f t="shared" si="123"/>
        <v>34591</v>
      </c>
      <c r="J3831" s="1" t="str">
        <f>"00745853"</f>
        <v>00745853</v>
      </c>
      <c r="K3831" s="1" t="str">
        <f>"３１３　　　　　　　　　　　　　　　　　"</f>
        <v>３１３　　　　　　　　　　　　　　　　　</v>
      </c>
      <c r="L3831" s="1"/>
    </row>
    <row r="3832" spans="1:12" ht="18" customHeight="1" x14ac:dyDescent="0.15">
      <c r="A3832" s="25">
        <v>4474</v>
      </c>
      <c r="B3832" s="25" t="s">
        <v>360</v>
      </c>
      <c r="C3832" s="25" t="s">
        <v>362</v>
      </c>
      <c r="D3832" s="25">
        <v>1</v>
      </c>
      <c r="E3832" s="25" t="s">
        <v>21</v>
      </c>
      <c r="F3832" s="38">
        <v>21630</v>
      </c>
      <c r="G3832" s="38" t="s">
        <v>668</v>
      </c>
      <c r="H3832" s="25" t="str">
        <f t="shared" si="122"/>
        <v>平成6年9月14日</v>
      </c>
      <c r="I3832" s="22">
        <f t="shared" si="123"/>
        <v>34591</v>
      </c>
      <c r="J3832" s="1" t="str">
        <f>"00745855"</f>
        <v>00745855</v>
      </c>
      <c r="K3832" s="1" t="str">
        <f>"３１４　　　　　　　　　　　　　　　　　"</f>
        <v>３１４　　　　　　　　　　　　　　　　　</v>
      </c>
      <c r="L3832" s="1"/>
    </row>
    <row r="3833" spans="1:12" ht="18" customHeight="1" x14ac:dyDescent="0.15">
      <c r="A3833" s="25">
        <v>4475</v>
      </c>
      <c r="B3833" s="25" t="s">
        <v>360</v>
      </c>
      <c r="C3833" s="25" t="s">
        <v>362</v>
      </c>
      <c r="D3833" s="25">
        <v>1</v>
      </c>
      <c r="E3833" s="25" t="s">
        <v>21</v>
      </c>
      <c r="F3833" s="38">
        <v>21630</v>
      </c>
      <c r="G3833" s="38" t="s">
        <v>668</v>
      </c>
      <c r="H3833" s="25" t="str">
        <f t="shared" si="122"/>
        <v>平成6年9月14日</v>
      </c>
      <c r="I3833" s="22">
        <f t="shared" si="123"/>
        <v>34591</v>
      </c>
      <c r="J3833" s="1" t="str">
        <f>"00745857"</f>
        <v>00745857</v>
      </c>
      <c r="K3833" s="1" t="str">
        <f>"３１５　　　　　　　　　　　　　　　　　"</f>
        <v>３１５　　　　　　　　　　　　　　　　　</v>
      </c>
      <c r="L3833" s="1"/>
    </row>
    <row r="3834" spans="1:12" ht="18" customHeight="1" x14ac:dyDescent="0.15">
      <c r="A3834" s="25">
        <v>4476</v>
      </c>
      <c r="B3834" s="25" t="s">
        <v>360</v>
      </c>
      <c r="C3834" s="25" t="s">
        <v>362</v>
      </c>
      <c r="D3834" s="25">
        <v>1</v>
      </c>
      <c r="E3834" s="25" t="s">
        <v>21</v>
      </c>
      <c r="F3834" s="38">
        <v>21630</v>
      </c>
      <c r="G3834" s="38" t="s">
        <v>668</v>
      </c>
      <c r="H3834" s="25" t="str">
        <f t="shared" si="122"/>
        <v>平成6年9月14日</v>
      </c>
      <c r="I3834" s="22">
        <f t="shared" si="123"/>
        <v>34591</v>
      </c>
      <c r="J3834" s="1" t="str">
        <f>"00745859"</f>
        <v>00745859</v>
      </c>
      <c r="K3834" s="1" t="str">
        <f>"３１６　　　　　　　　　　　　　　　　　"</f>
        <v>３１６　　　　　　　　　　　　　　　　　</v>
      </c>
      <c r="L3834" s="1"/>
    </row>
    <row r="3835" spans="1:12" ht="18" customHeight="1" x14ac:dyDescent="0.15">
      <c r="A3835" s="25">
        <v>4477</v>
      </c>
      <c r="B3835" s="25" t="s">
        <v>360</v>
      </c>
      <c r="C3835" s="25" t="s">
        <v>362</v>
      </c>
      <c r="D3835" s="25">
        <v>1</v>
      </c>
      <c r="E3835" s="25" t="s">
        <v>21</v>
      </c>
      <c r="F3835" s="38">
        <v>21630</v>
      </c>
      <c r="G3835" s="38" t="s">
        <v>668</v>
      </c>
      <c r="H3835" s="25" t="str">
        <f t="shared" si="122"/>
        <v>平成6年9月14日</v>
      </c>
      <c r="I3835" s="22">
        <f t="shared" si="123"/>
        <v>34591</v>
      </c>
      <c r="J3835" s="1" t="str">
        <f>"00745861"</f>
        <v>00745861</v>
      </c>
      <c r="K3835" s="1" t="str">
        <f>"３１７　　　　　　　　　　　　　　　　　"</f>
        <v>３１７　　　　　　　　　　　　　　　　　</v>
      </c>
      <c r="L3835" s="1"/>
    </row>
    <row r="3836" spans="1:12" ht="18" customHeight="1" x14ac:dyDescent="0.15">
      <c r="A3836" s="25">
        <v>4478</v>
      </c>
      <c r="B3836" s="25" t="s">
        <v>360</v>
      </c>
      <c r="C3836" s="25" t="s">
        <v>362</v>
      </c>
      <c r="D3836" s="25">
        <v>1</v>
      </c>
      <c r="E3836" s="25" t="s">
        <v>21</v>
      </c>
      <c r="F3836" s="38">
        <v>21630</v>
      </c>
      <c r="G3836" s="38" t="s">
        <v>668</v>
      </c>
      <c r="H3836" s="25" t="str">
        <f t="shared" si="122"/>
        <v>平成6年9月14日</v>
      </c>
      <c r="I3836" s="22">
        <f t="shared" si="123"/>
        <v>34591</v>
      </c>
      <c r="J3836" s="1" t="str">
        <f>"00745863"</f>
        <v>00745863</v>
      </c>
      <c r="K3836" s="1" t="str">
        <f>"３１８　　　　　　　　　　　　　　　　　"</f>
        <v>３１８　　　　　　　　　　　　　　　　　</v>
      </c>
      <c r="L3836" s="1"/>
    </row>
    <row r="3837" spans="1:12" ht="18" customHeight="1" x14ac:dyDescent="0.15">
      <c r="A3837" s="25">
        <v>4479</v>
      </c>
      <c r="B3837" s="25" t="s">
        <v>360</v>
      </c>
      <c r="C3837" s="25" t="s">
        <v>362</v>
      </c>
      <c r="D3837" s="25">
        <v>1</v>
      </c>
      <c r="E3837" s="25" t="s">
        <v>21</v>
      </c>
      <c r="F3837" s="38">
        <v>21630</v>
      </c>
      <c r="G3837" s="38" t="s">
        <v>668</v>
      </c>
      <c r="H3837" s="25" t="str">
        <f t="shared" si="122"/>
        <v>平成6年9月14日</v>
      </c>
      <c r="I3837" s="22">
        <f t="shared" si="123"/>
        <v>34591</v>
      </c>
      <c r="J3837" s="1" t="str">
        <f>"00745865"</f>
        <v>00745865</v>
      </c>
      <c r="K3837" s="1" t="str">
        <f>"３１９　　　　　　　　　　　　　　　　　"</f>
        <v>３１９　　　　　　　　　　　　　　　　　</v>
      </c>
      <c r="L3837" s="1"/>
    </row>
    <row r="3838" spans="1:12" ht="18" customHeight="1" x14ac:dyDescent="0.15">
      <c r="A3838" s="25">
        <v>4480</v>
      </c>
      <c r="B3838" s="25" t="s">
        <v>360</v>
      </c>
      <c r="C3838" s="25" t="s">
        <v>362</v>
      </c>
      <c r="D3838" s="25">
        <v>1</v>
      </c>
      <c r="E3838" s="25" t="s">
        <v>21</v>
      </c>
      <c r="F3838" s="38">
        <v>21630</v>
      </c>
      <c r="G3838" s="38" t="s">
        <v>668</v>
      </c>
      <c r="H3838" s="25" t="str">
        <f t="shared" si="122"/>
        <v>平成6年9月14日</v>
      </c>
      <c r="I3838" s="22">
        <f t="shared" si="123"/>
        <v>34591</v>
      </c>
      <c r="J3838" s="1" t="str">
        <f>"00745867"</f>
        <v>00745867</v>
      </c>
      <c r="K3838" s="1" t="str">
        <f>"３２０　　　　　　　　　　　　　　　　　"</f>
        <v>３２０　　　　　　　　　　　　　　　　　</v>
      </c>
      <c r="L3838" s="1"/>
    </row>
    <row r="3839" spans="1:12" s="40" customFormat="1" ht="18" customHeight="1" x14ac:dyDescent="0.15">
      <c r="A3839" s="25">
        <v>4495</v>
      </c>
      <c r="B3839" s="25" t="s">
        <v>364</v>
      </c>
      <c r="C3839" s="25" t="s">
        <v>366</v>
      </c>
      <c r="D3839" s="25">
        <v>1</v>
      </c>
      <c r="E3839" s="25" t="s">
        <v>4</v>
      </c>
      <c r="F3839" s="38">
        <v>77700</v>
      </c>
      <c r="G3839" s="38" t="s">
        <v>668</v>
      </c>
      <c r="H3839" s="25" t="str">
        <f t="shared" si="122"/>
        <v>平成6年9月14日</v>
      </c>
      <c r="I3839" s="39">
        <f t="shared" si="123"/>
        <v>34591</v>
      </c>
      <c r="J3839" s="25" t="str">
        <f>"00745897"</f>
        <v>00745897</v>
      </c>
      <c r="K3839" s="25" t="str">
        <f>"３０７　　　　　　　　　　　　　　　　　"</f>
        <v>３０７　　　　　　　　　　　　　　　　　</v>
      </c>
      <c r="L3839" s="25"/>
    </row>
    <row r="3840" spans="1:12" s="40" customFormat="1" ht="18" customHeight="1" x14ac:dyDescent="0.15">
      <c r="A3840" s="25">
        <v>4496</v>
      </c>
      <c r="B3840" s="25" t="s">
        <v>364</v>
      </c>
      <c r="C3840" s="25" t="s">
        <v>366</v>
      </c>
      <c r="D3840" s="25">
        <v>1</v>
      </c>
      <c r="E3840" s="25" t="s">
        <v>4</v>
      </c>
      <c r="F3840" s="38">
        <v>77700</v>
      </c>
      <c r="G3840" s="38" t="s">
        <v>668</v>
      </c>
      <c r="H3840" s="25" t="str">
        <f t="shared" si="122"/>
        <v>平成6年9月14日</v>
      </c>
      <c r="I3840" s="39">
        <f t="shared" si="123"/>
        <v>34591</v>
      </c>
      <c r="J3840" s="25" t="str">
        <f>"00745899"</f>
        <v>00745899</v>
      </c>
      <c r="K3840" s="25" t="str">
        <f>"３０８　　　　　　　　　　　　　　　　　"</f>
        <v>３０８　　　　　　　　　　　　　　　　　</v>
      </c>
      <c r="L3840" s="25"/>
    </row>
    <row r="3841" spans="1:12" s="40" customFormat="1" ht="18" customHeight="1" x14ac:dyDescent="0.15">
      <c r="A3841" s="25">
        <v>4497</v>
      </c>
      <c r="B3841" s="25" t="s">
        <v>364</v>
      </c>
      <c r="C3841" s="25" t="s">
        <v>366</v>
      </c>
      <c r="D3841" s="25">
        <v>1</v>
      </c>
      <c r="E3841" s="25" t="s">
        <v>4</v>
      </c>
      <c r="F3841" s="38">
        <v>77700</v>
      </c>
      <c r="G3841" s="38" t="s">
        <v>668</v>
      </c>
      <c r="H3841" s="25" t="str">
        <f t="shared" si="122"/>
        <v>平成6年9月14日</v>
      </c>
      <c r="I3841" s="39">
        <f t="shared" si="123"/>
        <v>34591</v>
      </c>
      <c r="J3841" s="25" t="str">
        <f>"00745901"</f>
        <v>00745901</v>
      </c>
      <c r="K3841" s="25" t="str">
        <f>"３０９　　　　　　　　　　　　　　　　　"</f>
        <v>３０９　　　　　　　　　　　　　　　　　</v>
      </c>
      <c r="L3841" s="25"/>
    </row>
    <row r="3842" spans="1:12" s="40" customFormat="1" ht="18" customHeight="1" x14ac:dyDescent="0.15">
      <c r="A3842" s="25">
        <v>4498</v>
      </c>
      <c r="B3842" s="25" t="s">
        <v>364</v>
      </c>
      <c r="C3842" s="25" t="s">
        <v>366</v>
      </c>
      <c r="D3842" s="25">
        <v>1</v>
      </c>
      <c r="E3842" s="25" t="s">
        <v>4</v>
      </c>
      <c r="F3842" s="38">
        <v>77700</v>
      </c>
      <c r="G3842" s="38" t="s">
        <v>668</v>
      </c>
      <c r="H3842" s="25" t="str">
        <f t="shared" si="122"/>
        <v>平成6年9月14日</v>
      </c>
      <c r="I3842" s="39">
        <f t="shared" si="123"/>
        <v>34591</v>
      </c>
      <c r="J3842" s="25" t="str">
        <f>"00745903"</f>
        <v>00745903</v>
      </c>
      <c r="K3842" s="25" t="str">
        <f>"３１０　　　　　　　　　　　　　　　　　"</f>
        <v>３１０　　　　　　　　　　　　　　　　　</v>
      </c>
      <c r="L3842" s="25"/>
    </row>
    <row r="3843" spans="1:12" s="40" customFormat="1" ht="18" customHeight="1" x14ac:dyDescent="0.15">
      <c r="A3843" s="25">
        <v>4499</v>
      </c>
      <c r="B3843" s="25" t="s">
        <v>364</v>
      </c>
      <c r="C3843" s="25" t="s">
        <v>367</v>
      </c>
      <c r="D3843" s="25">
        <v>1</v>
      </c>
      <c r="E3843" s="25" t="s">
        <v>4</v>
      </c>
      <c r="F3843" s="38">
        <v>23175</v>
      </c>
      <c r="G3843" s="38" t="s">
        <v>668</v>
      </c>
      <c r="H3843" s="25" t="str">
        <f t="shared" si="122"/>
        <v>平成6年9月14日</v>
      </c>
      <c r="I3843" s="39">
        <f t="shared" si="123"/>
        <v>34591</v>
      </c>
      <c r="J3843" s="25" t="str">
        <f>"00745905"</f>
        <v>00745905</v>
      </c>
      <c r="K3843" s="25" t="str">
        <f>"３１１　　　　　　　　　　　　　　　　　"</f>
        <v>３１１　　　　　　　　　　　　　　　　　</v>
      </c>
      <c r="L3843" s="25"/>
    </row>
    <row r="3844" spans="1:12" s="40" customFormat="1" ht="18" customHeight="1" x14ac:dyDescent="0.15">
      <c r="A3844" s="25">
        <v>4500</v>
      </c>
      <c r="B3844" s="25" t="s">
        <v>364</v>
      </c>
      <c r="C3844" s="25" t="s">
        <v>367</v>
      </c>
      <c r="D3844" s="25">
        <v>1</v>
      </c>
      <c r="E3844" s="25" t="s">
        <v>4</v>
      </c>
      <c r="F3844" s="38">
        <v>23175</v>
      </c>
      <c r="G3844" s="38" t="s">
        <v>668</v>
      </c>
      <c r="H3844" s="25" t="str">
        <f t="shared" si="122"/>
        <v>平成6年9月14日</v>
      </c>
      <c r="I3844" s="39">
        <f t="shared" si="123"/>
        <v>34591</v>
      </c>
      <c r="J3844" s="25" t="str">
        <f>"00745907"</f>
        <v>00745907</v>
      </c>
      <c r="K3844" s="25" t="str">
        <f>"３１２　　　　　　　　　　　　　　　　　"</f>
        <v>３１２　　　　　　　　　　　　　　　　　</v>
      </c>
      <c r="L3844" s="25"/>
    </row>
    <row r="3845" spans="1:12" s="40" customFormat="1" ht="18" customHeight="1" x14ac:dyDescent="0.15">
      <c r="A3845" s="25">
        <v>4501</v>
      </c>
      <c r="B3845" s="25" t="s">
        <v>364</v>
      </c>
      <c r="C3845" s="25" t="s">
        <v>367</v>
      </c>
      <c r="D3845" s="25">
        <v>1</v>
      </c>
      <c r="E3845" s="25" t="s">
        <v>4</v>
      </c>
      <c r="F3845" s="38">
        <v>23175</v>
      </c>
      <c r="G3845" s="38" t="s">
        <v>668</v>
      </c>
      <c r="H3845" s="25" t="str">
        <f t="shared" si="122"/>
        <v>平成6年9月14日</v>
      </c>
      <c r="I3845" s="39">
        <f t="shared" si="123"/>
        <v>34591</v>
      </c>
      <c r="J3845" s="25" t="str">
        <f>"00745909"</f>
        <v>00745909</v>
      </c>
      <c r="K3845" s="25" t="str">
        <f>"３１３　　　　　　　　　　　　　　　　　"</f>
        <v>３１３　　　　　　　　　　　　　　　　　</v>
      </c>
      <c r="L3845" s="25"/>
    </row>
    <row r="3846" spans="1:12" s="40" customFormat="1" ht="18" customHeight="1" x14ac:dyDescent="0.15">
      <c r="A3846" s="25">
        <v>4502</v>
      </c>
      <c r="B3846" s="25" t="s">
        <v>364</v>
      </c>
      <c r="C3846" s="25" t="s">
        <v>367</v>
      </c>
      <c r="D3846" s="25">
        <v>1</v>
      </c>
      <c r="E3846" s="25" t="s">
        <v>4</v>
      </c>
      <c r="F3846" s="38">
        <v>23175</v>
      </c>
      <c r="G3846" s="38" t="s">
        <v>668</v>
      </c>
      <c r="H3846" s="25" t="str">
        <f t="shared" si="122"/>
        <v>平成6年9月14日</v>
      </c>
      <c r="I3846" s="39">
        <f t="shared" si="123"/>
        <v>34591</v>
      </c>
      <c r="J3846" s="25" t="str">
        <f>"00745911"</f>
        <v>00745911</v>
      </c>
      <c r="K3846" s="25" t="str">
        <f>"３１４　　　　　　　　　　　　　　　　　"</f>
        <v>３１４　　　　　　　　　　　　　　　　　</v>
      </c>
      <c r="L3846" s="25"/>
    </row>
    <row r="3847" spans="1:12" ht="18" customHeight="1" x14ac:dyDescent="0.15">
      <c r="A3847" s="25">
        <v>4503</v>
      </c>
      <c r="B3847" s="25" t="s">
        <v>364</v>
      </c>
      <c r="C3847" s="25" t="s">
        <v>368</v>
      </c>
      <c r="D3847" s="25">
        <v>1</v>
      </c>
      <c r="E3847" s="25" t="s">
        <v>4</v>
      </c>
      <c r="F3847" s="38">
        <v>26265</v>
      </c>
      <c r="G3847" s="38" t="s">
        <v>668</v>
      </c>
      <c r="H3847" s="25" t="str">
        <f t="shared" si="122"/>
        <v>平成6年9月14日</v>
      </c>
      <c r="I3847" s="22">
        <f t="shared" si="123"/>
        <v>34591</v>
      </c>
      <c r="J3847" s="1" t="str">
        <f>"00745913"</f>
        <v>00745913</v>
      </c>
      <c r="K3847" s="1" t="str">
        <f>"３１５　　　　　　　　　　　　　　　　　"</f>
        <v>３１５　　　　　　　　　　　　　　　　　</v>
      </c>
      <c r="L3847" s="1"/>
    </row>
    <row r="3848" spans="1:12" ht="18" customHeight="1" x14ac:dyDescent="0.15">
      <c r="A3848" s="25">
        <v>4504</v>
      </c>
      <c r="B3848" s="25" t="s">
        <v>364</v>
      </c>
      <c r="C3848" s="25" t="s">
        <v>368</v>
      </c>
      <c r="D3848" s="25">
        <v>1</v>
      </c>
      <c r="E3848" s="25" t="s">
        <v>4</v>
      </c>
      <c r="F3848" s="38">
        <v>26265</v>
      </c>
      <c r="G3848" s="38" t="s">
        <v>668</v>
      </c>
      <c r="H3848" s="25" t="str">
        <f t="shared" si="122"/>
        <v>平成6年9月14日</v>
      </c>
      <c r="I3848" s="22">
        <f t="shared" si="123"/>
        <v>34591</v>
      </c>
      <c r="J3848" s="1" t="str">
        <f>"00745915"</f>
        <v>00745915</v>
      </c>
      <c r="K3848" s="1" t="str">
        <f>"３１６　　　　　　　　　　　　　　　　　"</f>
        <v>３１６　　　　　　　　　　　　　　　　　</v>
      </c>
      <c r="L3848" s="1"/>
    </row>
    <row r="3849" spans="1:12" ht="18" customHeight="1" x14ac:dyDescent="0.15">
      <c r="A3849" s="25">
        <v>4505</v>
      </c>
      <c r="B3849" s="25" t="s">
        <v>364</v>
      </c>
      <c r="C3849" s="25" t="s">
        <v>654</v>
      </c>
      <c r="D3849" s="25">
        <v>1</v>
      </c>
      <c r="E3849" s="25" t="s">
        <v>4</v>
      </c>
      <c r="F3849" s="38">
        <v>23947</v>
      </c>
      <c r="G3849" s="38" t="s">
        <v>668</v>
      </c>
      <c r="H3849" s="25" t="str">
        <f t="shared" si="122"/>
        <v>平成6年9月14日</v>
      </c>
      <c r="I3849" s="22">
        <f t="shared" si="123"/>
        <v>34591</v>
      </c>
      <c r="J3849" s="1" t="str">
        <f>"00745917"</f>
        <v>00745917</v>
      </c>
      <c r="K3849" s="1" t="str">
        <f>"３１７　　　　　　　　　　　　　　　　　"</f>
        <v>３１７　　　　　　　　　　　　　　　　　</v>
      </c>
      <c r="L3849" s="1"/>
    </row>
    <row r="3850" spans="1:12" ht="18" customHeight="1" x14ac:dyDescent="0.15">
      <c r="A3850" s="25">
        <v>4506</v>
      </c>
      <c r="B3850" s="25" t="s">
        <v>364</v>
      </c>
      <c r="C3850" s="25" t="s">
        <v>655</v>
      </c>
      <c r="D3850" s="25">
        <v>1</v>
      </c>
      <c r="E3850" s="25" t="s">
        <v>4</v>
      </c>
      <c r="F3850" s="38">
        <v>23947</v>
      </c>
      <c r="G3850" s="38" t="s">
        <v>668</v>
      </c>
      <c r="H3850" s="25" t="str">
        <f t="shared" si="122"/>
        <v>平成6年9月14日</v>
      </c>
      <c r="I3850" s="22">
        <f t="shared" si="123"/>
        <v>34591</v>
      </c>
      <c r="J3850" s="1" t="str">
        <f>"00745919"</f>
        <v>00745919</v>
      </c>
      <c r="K3850" s="1" t="str">
        <f>"３１８　　　　　　　　　　　　　　　　　"</f>
        <v>３１８　　　　　　　　　　　　　　　　　</v>
      </c>
      <c r="L3850" s="1"/>
    </row>
    <row r="3851" spans="1:12" s="40" customFormat="1" ht="18" customHeight="1" x14ac:dyDescent="0.15">
      <c r="A3851" s="25">
        <v>4507</v>
      </c>
      <c r="B3851" s="25" t="s">
        <v>364</v>
      </c>
      <c r="C3851" s="25" t="s">
        <v>656</v>
      </c>
      <c r="D3851" s="25">
        <v>1</v>
      </c>
      <c r="E3851" s="25" t="s">
        <v>4</v>
      </c>
      <c r="F3851" s="38">
        <v>23566</v>
      </c>
      <c r="G3851" s="38" t="s">
        <v>668</v>
      </c>
      <c r="H3851" s="25" t="str">
        <f t="shared" si="122"/>
        <v>平成6年9月14日</v>
      </c>
      <c r="I3851" s="39">
        <f t="shared" si="123"/>
        <v>34591</v>
      </c>
      <c r="J3851" s="25" t="str">
        <f>"00745921"</f>
        <v>00745921</v>
      </c>
      <c r="K3851" s="25" t="str">
        <f>"３１９　　　　　　　　　　　　　　　　　"</f>
        <v>３１９　　　　　　　　　　　　　　　　　</v>
      </c>
      <c r="L3851" s="25"/>
    </row>
    <row r="3852" spans="1:12" s="40" customFormat="1" ht="18" customHeight="1" x14ac:dyDescent="0.15">
      <c r="A3852" s="25">
        <v>4508</v>
      </c>
      <c r="B3852" s="25" t="s">
        <v>364</v>
      </c>
      <c r="C3852" s="25" t="s">
        <v>656</v>
      </c>
      <c r="D3852" s="25">
        <v>1</v>
      </c>
      <c r="E3852" s="25" t="s">
        <v>4</v>
      </c>
      <c r="F3852" s="38">
        <v>23566</v>
      </c>
      <c r="G3852" s="38" t="s">
        <v>668</v>
      </c>
      <c r="H3852" s="25" t="str">
        <f t="shared" si="122"/>
        <v>平成6年9月14日</v>
      </c>
      <c r="I3852" s="39">
        <f t="shared" si="123"/>
        <v>34591</v>
      </c>
      <c r="J3852" s="25" t="str">
        <f>"00745923"</f>
        <v>00745923</v>
      </c>
      <c r="K3852" s="25" t="str">
        <f>"３２０　　　　　　　　　　　　　　　　　"</f>
        <v>３２０　　　　　　　　　　　　　　　　　</v>
      </c>
      <c r="L3852" s="25"/>
    </row>
    <row r="3853" spans="1:12" s="40" customFormat="1" ht="18" customHeight="1" x14ac:dyDescent="0.15">
      <c r="A3853" s="25">
        <v>4509</v>
      </c>
      <c r="B3853" s="25" t="s">
        <v>364</v>
      </c>
      <c r="C3853" s="25" t="s">
        <v>656</v>
      </c>
      <c r="D3853" s="25">
        <v>1</v>
      </c>
      <c r="E3853" s="25" t="s">
        <v>4</v>
      </c>
      <c r="F3853" s="38">
        <v>23566</v>
      </c>
      <c r="G3853" s="38" t="s">
        <v>668</v>
      </c>
      <c r="H3853" s="25" t="str">
        <f t="shared" si="122"/>
        <v>平成6年9月14日</v>
      </c>
      <c r="I3853" s="39">
        <f t="shared" si="123"/>
        <v>34591</v>
      </c>
      <c r="J3853" s="25" t="str">
        <f>"00745925"</f>
        <v>00745925</v>
      </c>
      <c r="K3853" s="25" t="str">
        <f>"３２１　　　　　　　　　　　　　　　　　"</f>
        <v>３２１　　　　　　　　　　　　　　　　　</v>
      </c>
      <c r="L3853" s="25"/>
    </row>
    <row r="3854" spans="1:12" s="40" customFormat="1" ht="18" customHeight="1" x14ac:dyDescent="0.15">
      <c r="A3854" s="25">
        <v>4510</v>
      </c>
      <c r="B3854" s="25" t="s">
        <v>364</v>
      </c>
      <c r="C3854" s="25" t="s">
        <v>656</v>
      </c>
      <c r="D3854" s="25">
        <v>1</v>
      </c>
      <c r="E3854" s="25" t="s">
        <v>4</v>
      </c>
      <c r="F3854" s="38">
        <v>23566</v>
      </c>
      <c r="G3854" s="38" t="s">
        <v>668</v>
      </c>
      <c r="H3854" s="25" t="str">
        <f t="shared" si="122"/>
        <v>平成6年9月14日</v>
      </c>
      <c r="I3854" s="39">
        <f t="shared" si="123"/>
        <v>34591</v>
      </c>
      <c r="J3854" s="25" t="str">
        <f>"00745927"</f>
        <v>00745927</v>
      </c>
      <c r="K3854" s="25" t="str">
        <f>"３２２　　　　　　　　　　　　　　　　　"</f>
        <v>３２２　　　　　　　　　　　　　　　　　</v>
      </c>
      <c r="L3854" s="25"/>
    </row>
    <row r="3855" spans="1:12" s="40" customFormat="1" ht="18" customHeight="1" x14ac:dyDescent="0.15">
      <c r="A3855" s="25">
        <v>4511</v>
      </c>
      <c r="B3855" s="25" t="s">
        <v>364</v>
      </c>
      <c r="C3855" s="25" t="s">
        <v>656</v>
      </c>
      <c r="D3855" s="25">
        <v>1</v>
      </c>
      <c r="E3855" s="25" t="s">
        <v>4</v>
      </c>
      <c r="F3855" s="38">
        <v>23566</v>
      </c>
      <c r="G3855" s="38" t="s">
        <v>668</v>
      </c>
      <c r="H3855" s="25" t="str">
        <f t="shared" ref="H3855:H3918" si="124">"平成6年9月14日"</f>
        <v>平成6年9月14日</v>
      </c>
      <c r="I3855" s="39">
        <f t="shared" si="123"/>
        <v>34591</v>
      </c>
      <c r="J3855" s="25" t="str">
        <f>"00745929"</f>
        <v>00745929</v>
      </c>
      <c r="K3855" s="25" t="str">
        <f>"３２３　　　　　　　　　　　　　　　　　"</f>
        <v>３２３　　　　　　　　　　　　　　　　　</v>
      </c>
      <c r="L3855" s="25"/>
    </row>
    <row r="3856" spans="1:12" s="40" customFormat="1" ht="18" customHeight="1" x14ac:dyDescent="0.15">
      <c r="A3856" s="25">
        <v>4512</v>
      </c>
      <c r="B3856" s="25" t="s">
        <v>364</v>
      </c>
      <c r="C3856" s="25" t="s">
        <v>656</v>
      </c>
      <c r="D3856" s="25">
        <v>1</v>
      </c>
      <c r="E3856" s="25" t="s">
        <v>4</v>
      </c>
      <c r="F3856" s="38">
        <v>23566</v>
      </c>
      <c r="G3856" s="38" t="s">
        <v>668</v>
      </c>
      <c r="H3856" s="25" t="str">
        <f t="shared" si="124"/>
        <v>平成6年9月14日</v>
      </c>
      <c r="I3856" s="39">
        <f t="shared" si="123"/>
        <v>34591</v>
      </c>
      <c r="J3856" s="25" t="str">
        <f>"00745931"</f>
        <v>00745931</v>
      </c>
      <c r="K3856" s="25" t="str">
        <f>"３２４　　　　　　　　　　　　　　　　　"</f>
        <v>３２４　　　　　　　　　　　　　　　　　</v>
      </c>
      <c r="L3856" s="25"/>
    </row>
    <row r="3857" spans="1:12" s="40" customFormat="1" ht="18" customHeight="1" x14ac:dyDescent="0.15">
      <c r="A3857" s="25">
        <v>4513</v>
      </c>
      <c r="B3857" s="25" t="s">
        <v>364</v>
      </c>
      <c r="C3857" s="25" t="s">
        <v>656</v>
      </c>
      <c r="D3857" s="25">
        <v>1</v>
      </c>
      <c r="E3857" s="25" t="s">
        <v>4</v>
      </c>
      <c r="F3857" s="38">
        <v>23566</v>
      </c>
      <c r="G3857" s="38" t="s">
        <v>668</v>
      </c>
      <c r="H3857" s="25" t="str">
        <f t="shared" si="124"/>
        <v>平成6年9月14日</v>
      </c>
      <c r="I3857" s="39">
        <f t="shared" si="123"/>
        <v>34591</v>
      </c>
      <c r="J3857" s="25" t="str">
        <f>"00745933"</f>
        <v>00745933</v>
      </c>
      <c r="K3857" s="25" t="str">
        <f>"３２５　　　　　　　　　　　　　　　　　"</f>
        <v>３２５　　　　　　　　　　　　　　　　　</v>
      </c>
      <c r="L3857" s="25"/>
    </row>
    <row r="3858" spans="1:12" s="40" customFormat="1" ht="18" customHeight="1" x14ac:dyDescent="0.15">
      <c r="A3858" s="25">
        <v>4514</v>
      </c>
      <c r="B3858" s="25" t="s">
        <v>364</v>
      </c>
      <c r="C3858" s="25" t="s">
        <v>656</v>
      </c>
      <c r="D3858" s="25">
        <v>1</v>
      </c>
      <c r="E3858" s="25" t="s">
        <v>4</v>
      </c>
      <c r="F3858" s="38">
        <v>23566</v>
      </c>
      <c r="G3858" s="38" t="s">
        <v>668</v>
      </c>
      <c r="H3858" s="25" t="str">
        <f t="shared" si="124"/>
        <v>平成6年9月14日</v>
      </c>
      <c r="I3858" s="39">
        <f t="shared" ref="I3858:I3921" si="125">DATEVALUE(H3858)</f>
        <v>34591</v>
      </c>
      <c r="J3858" s="25" t="str">
        <f>"00745935"</f>
        <v>00745935</v>
      </c>
      <c r="K3858" s="25" t="str">
        <f>"３２６　　　　　　　　　　　　　　　　　"</f>
        <v>３２６　　　　　　　　　　　　　　　　　</v>
      </c>
      <c r="L3858" s="25"/>
    </row>
    <row r="3859" spans="1:12" s="40" customFormat="1" ht="18" customHeight="1" x14ac:dyDescent="0.15">
      <c r="A3859" s="25">
        <v>4515</v>
      </c>
      <c r="B3859" s="25" t="s">
        <v>364</v>
      </c>
      <c r="C3859" s="25" t="s">
        <v>656</v>
      </c>
      <c r="D3859" s="25">
        <v>1</v>
      </c>
      <c r="E3859" s="25" t="s">
        <v>4</v>
      </c>
      <c r="F3859" s="38">
        <v>23566</v>
      </c>
      <c r="G3859" s="38" t="s">
        <v>668</v>
      </c>
      <c r="H3859" s="25" t="str">
        <f t="shared" si="124"/>
        <v>平成6年9月14日</v>
      </c>
      <c r="I3859" s="39">
        <f t="shared" si="125"/>
        <v>34591</v>
      </c>
      <c r="J3859" s="25" t="str">
        <f>"00745937"</f>
        <v>00745937</v>
      </c>
      <c r="K3859" s="25" t="str">
        <f>"３２７　　　　　　　　　　　　　　　　　"</f>
        <v>３２７　　　　　　　　　　　　　　　　　</v>
      </c>
      <c r="L3859" s="25"/>
    </row>
    <row r="3860" spans="1:12" s="40" customFormat="1" ht="18" customHeight="1" x14ac:dyDescent="0.15">
      <c r="A3860" s="25">
        <v>4516</v>
      </c>
      <c r="B3860" s="25" t="s">
        <v>364</v>
      </c>
      <c r="C3860" s="25" t="s">
        <v>656</v>
      </c>
      <c r="D3860" s="25">
        <v>1</v>
      </c>
      <c r="E3860" s="25" t="s">
        <v>4</v>
      </c>
      <c r="F3860" s="38">
        <v>23566</v>
      </c>
      <c r="G3860" s="38" t="s">
        <v>668</v>
      </c>
      <c r="H3860" s="25" t="str">
        <f t="shared" si="124"/>
        <v>平成6年9月14日</v>
      </c>
      <c r="I3860" s="39">
        <f t="shared" si="125"/>
        <v>34591</v>
      </c>
      <c r="J3860" s="25" t="str">
        <f>"00745939"</f>
        <v>00745939</v>
      </c>
      <c r="K3860" s="25" t="str">
        <f>"３２８　　　　　　　　　　　　　　　　　"</f>
        <v>３２８　　　　　　　　　　　　　　　　　</v>
      </c>
      <c r="L3860" s="25"/>
    </row>
    <row r="3861" spans="1:12" s="40" customFormat="1" ht="18" customHeight="1" x14ac:dyDescent="0.15">
      <c r="A3861" s="25">
        <v>4517</v>
      </c>
      <c r="B3861" s="25" t="s">
        <v>364</v>
      </c>
      <c r="C3861" s="25" t="s">
        <v>656</v>
      </c>
      <c r="D3861" s="25">
        <v>1</v>
      </c>
      <c r="E3861" s="25" t="s">
        <v>4</v>
      </c>
      <c r="F3861" s="38">
        <v>23566</v>
      </c>
      <c r="G3861" s="38" t="s">
        <v>668</v>
      </c>
      <c r="H3861" s="25" t="str">
        <f t="shared" si="124"/>
        <v>平成6年9月14日</v>
      </c>
      <c r="I3861" s="39">
        <f t="shared" si="125"/>
        <v>34591</v>
      </c>
      <c r="J3861" s="25" t="str">
        <f>"00745941"</f>
        <v>00745941</v>
      </c>
      <c r="K3861" s="25" t="str">
        <f>"３２９　　　　　　　　　　　　　　　　　"</f>
        <v>３２９　　　　　　　　　　　　　　　　　</v>
      </c>
      <c r="L3861" s="25"/>
    </row>
    <row r="3862" spans="1:12" s="40" customFormat="1" ht="18" customHeight="1" x14ac:dyDescent="0.15">
      <c r="A3862" s="25">
        <v>4518</v>
      </c>
      <c r="B3862" s="25" t="s">
        <v>364</v>
      </c>
      <c r="C3862" s="25" t="s">
        <v>656</v>
      </c>
      <c r="D3862" s="25">
        <v>1</v>
      </c>
      <c r="E3862" s="25" t="s">
        <v>4</v>
      </c>
      <c r="F3862" s="38">
        <v>23566</v>
      </c>
      <c r="G3862" s="38" t="s">
        <v>668</v>
      </c>
      <c r="H3862" s="25" t="str">
        <f t="shared" si="124"/>
        <v>平成6年9月14日</v>
      </c>
      <c r="I3862" s="39">
        <f t="shared" si="125"/>
        <v>34591</v>
      </c>
      <c r="J3862" s="25" t="str">
        <f>"00745943"</f>
        <v>00745943</v>
      </c>
      <c r="K3862" s="25" t="str">
        <f>"３３０　　　　　　　　　　　　　　　　　"</f>
        <v>３３０　　　　　　　　　　　　　　　　　</v>
      </c>
      <c r="L3862" s="25"/>
    </row>
    <row r="3863" spans="1:12" s="40" customFormat="1" ht="18" customHeight="1" x14ac:dyDescent="0.15">
      <c r="A3863" s="25">
        <v>4536</v>
      </c>
      <c r="B3863" s="25" t="s">
        <v>373</v>
      </c>
      <c r="C3863" s="25" t="s">
        <v>375</v>
      </c>
      <c r="D3863" s="25">
        <v>1</v>
      </c>
      <c r="E3863" s="25" t="s">
        <v>4</v>
      </c>
      <c r="F3863" s="38">
        <v>34100</v>
      </c>
      <c r="G3863" s="38" t="s">
        <v>668</v>
      </c>
      <c r="H3863" s="25" t="str">
        <f t="shared" si="124"/>
        <v>平成6年9月14日</v>
      </c>
      <c r="I3863" s="39">
        <f t="shared" si="125"/>
        <v>34591</v>
      </c>
      <c r="J3863" s="25" t="str">
        <f>"00745981"</f>
        <v>00745981</v>
      </c>
      <c r="K3863" s="25" t="str">
        <f>"３０２　　　　　　　　　　　　　　　　　"</f>
        <v>３０２　　　　　　　　　　　　　　　　　</v>
      </c>
      <c r="L3863" s="25"/>
    </row>
    <row r="3864" spans="1:12" s="40" customFormat="1" ht="18" customHeight="1" x14ac:dyDescent="0.15">
      <c r="A3864" s="25">
        <v>4537</v>
      </c>
      <c r="B3864" s="25" t="s">
        <v>373</v>
      </c>
      <c r="C3864" s="25" t="s">
        <v>375</v>
      </c>
      <c r="D3864" s="25">
        <v>1</v>
      </c>
      <c r="E3864" s="25" t="s">
        <v>4</v>
      </c>
      <c r="F3864" s="38">
        <v>34100</v>
      </c>
      <c r="G3864" s="38" t="s">
        <v>668</v>
      </c>
      <c r="H3864" s="25" t="str">
        <f t="shared" si="124"/>
        <v>平成6年9月14日</v>
      </c>
      <c r="I3864" s="39">
        <f t="shared" si="125"/>
        <v>34591</v>
      </c>
      <c r="J3864" s="25" t="str">
        <f>"00745983"</f>
        <v>00745983</v>
      </c>
      <c r="K3864" s="25" t="str">
        <f>"３０３　　　　　　　　　　　　　　　　　"</f>
        <v>３０３　　　　　　　　　　　　　　　　　</v>
      </c>
      <c r="L3864" s="25"/>
    </row>
    <row r="3865" spans="1:12" s="40" customFormat="1" ht="18" customHeight="1" x14ac:dyDescent="0.15">
      <c r="A3865" s="25">
        <v>4538</v>
      </c>
      <c r="B3865" s="25" t="s">
        <v>373</v>
      </c>
      <c r="C3865" s="25" t="s">
        <v>375</v>
      </c>
      <c r="D3865" s="25">
        <v>1</v>
      </c>
      <c r="E3865" s="25" t="s">
        <v>4</v>
      </c>
      <c r="F3865" s="38">
        <v>34100</v>
      </c>
      <c r="G3865" s="38" t="s">
        <v>668</v>
      </c>
      <c r="H3865" s="25" t="str">
        <f t="shared" si="124"/>
        <v>平成6年9月14日</v>
      </c>
      <c r="I3865" s="39">
        <f t="shared" si="125"/>
        <v>34591</v>
      </c>
      <c r="J3865" s="25" t="str">
        <f>"00745985"</f>
        <v>00745985</v>
      </c>
      <c r="K3865" s="25" t="str">
        <f>"３０４　　　　　　　　　　　　　　　　　"</f>
        <v>３０４　　　　　　　　　　　　　　　　　</v>
      </c>
      <c r="L3865" s="25"/>
    </row>
    <row r="3866" spans="1:12" s="40" customFormat="1" ht="18" customHeight="1" x14ac:dyDescent="0.15">
      <c r="A3866" s="25">
        <v>4539</v>
      </c>
      <c r="B3866" s="25" t="s">
        <v>373</v>
      </c>
      <c r="C3866" s="25" t="s">
        <v>375</v>
      </c>
      <c r="D3866" s="25">
        <v>1</v>
      </c>
      <c r="E3866" s="25" t="s">
        <v>4</v>
      </c>
      <c r="F3866" s="38">
        <v>34100</v>
      </c>
      <c r="G3866" s="38" t="s">
        <v>668</v>
      </c>
      <c r="H3866" s="25" t="str">
        <f t="shared" si="124"/>
        <v>平成6年9月14日</v>
      </c>
      <c r="I3866" s="39">
        <f t="shared" si="125"/>
        <v>34591</v>
      </c>
      <c r="J3866" s="25" t="str">
        <f>"00745987"</f>
        <v>00745987</v>
      </c>
      <c r="K3866" s="25" t="str">
        <f>"３０５　　　　　　　　　　　　　　　　　"</f>
        <v>３０５　　　　　　　　　　　　　　　　　</v>
      </c>
      <c r="L3866" s="25"/>
    </row>
    <row r="3867" spans="1:12" s="40" customFormat="1" ht="18" customHeight="1" x14ac:dyDescent="0.15">
      <c r="A3867" s="25">
        <v>4540</v>
      </c>
      <c r="B3867" s="25" t="s">
        <v>373</v>
      </c>
      <c r="C3867" s="25" t="s">
        <v>375</v>
      </c>
      <c r="D3867" s="25">
        <v>1</v>
      </c>
      <c r="E3867" s="25" t="s">
        <v>4</v>
      </c>
      <c r="F3867" s="38">
        <v>34100</v>
      </c>
      <c r="G3867" s="38" t="s">
        <v>668</v>
      </c>
      <c r="H3867" s="25" t="str">
        <f t="shared" si="124"/>
        <v>平成6年9月14日</v>
      </c>
      <c r="I3867" s="39">
        <f t="shared" si="125"/>
        <v>34591</v>
      </c>
      <c r="J3867" s="25" t="str">
        <f>"00745989"</f>
        <v>00745989</v>
      </c>
      <c r="K3867" s="25" t="str">
        <f>"３０６　　　　　　　　　　　　　　　　　"</f>
        <v>３０６　　　　　　　　　　　　　　　　　</v>
      </c>
      <c r="L3867" s="25"/>
    </row>
    <row r="3868" spans="1:12" s="40" customFormat="1" ht="18" customHeight="1" x14ac:dyDescent="0.15">
      <c r="A3868" s="25">
        <v>4541</v>
      </c>
      <c r="B3868" s="25" t="s">
        <v>373</v>
      </c>
      <c r="C3868" s="25" t="s">
        <v>375</v>
      </c>
      <c r="D3868" s="25">
        <v>1</v>
      </c>
      <c r="E3868" s="25" t="s">
        <v>4</v>
      </c>
      <c r="F3868" s="38">
        <v>34100</v>
      </c>
      <c r="G3868" s="38" t="s">
        <v>668</v>
      </c>
      <c r="H3868" s="25" t="str">
        <f t="shared" si="124"/>
        <v>平成6年9月14日</v>
      </c>
      <c r="I3868" s="39">
        <f t="shared" si="125"/>
        <v>34591</v>
      </c>
      <c r="J3868" s="25" t="str">
        <f>"00745991"</f>
        <v>00745991</v>
      </c>
      <c r="K3868" s="25" t="str">
        <f>"３０７　　　　　　　　　　　　　　　　　"</f>
        <v>３０７　　　　　　　　　　　　　　　　　</v>
      </c>
      <c r="L3868" s="25"/>
    </row>
    <row r="3869" spans="1:12" s="40" customFormat="1" ht="18" customHeight="1" x14ac:dyDescent="0.15">
      <c r="A3869" s="25">
        <v>4542</v>
      </c>
      <c r="B3869" s="25" t="s">
        <v>373</v>
      </c>
      <c r="C3869" s="25" t="s">
        <v>376</v>
      </c>
      <c r="D3869" s="25">
        <v>1</v>
      </c>
      <c r="E3869" s="25" t="s">
        <v>4</v>
      </c>
      <c r="F3869" s="38">
        <v>23100</v>
      </c>
      <c r="G3869" s="38" t="s">
        <v>668</v>
      </c>
      <c r="H3869" s="25" t="str">
        <f t="shared" si="124"/>
        <v>平成6年9月14日</v>
      </c>
      <c r="I3869" s="39">
        <f t="shared" si="125"/>
        <v>34591</v>
      </c>
      <c r="J3869" s="25" t="str">
        <f>"00745993"</f>
        <v>00745993</v>
      </c>
      <c r="K3869" s="25" t="str">
        <f>"３１０　　　　　　　　　　　　　　　　　"</f>
        <v>３１０　　　　　　　　　　　　　　　　　</v>
      </c>
      <c r="L3869" s="25"/>
    </row>
    <row r="3870" spans="1:12" s="40" customFormat="1" ht="18" customHeight="1" x14ac:dyDescent="0.15">
      <c r="A3870" s="25">
        <v>4543</v>
      </c>
      <c r="B3870" s="25" t="s">
        <v>373</v>
      </c>
      <c r="C3870" s="25" t="s">
        <v>376</v>
      </c>
      <c r="D3870" s="25">
        <v>1</v>
      </c>
      <c r="E3870" s="25" t="s">
        <v>4</v>
      </c>
      <c r="F3870" s="38">
        <v>23100</v>
      </c>
      <c r="G3870" s="38" t="s">
        <v>668</v>
      </c>
      <c r="H3870" s="25" t="str">
        <f t="shared" si="124"/>
        <v>平成6年9月14日</v>
      </c>
      <c r="I3870" s="39">
        <f t="shared" si="125"/>
        <v>34591</v>
      </c>
      <c r="J3870" s="25" t="str">
        <f>"00745995"</f>
        <v>00745995</v>
      </c>
      <c r="K3870" s="25" t="str">
        <f>"３１１　　　　　　　　　　　　　　　　　"</f>
        <v>３１１　　　　　　　　　　　　　　　　　</v>
      </c>
      <c r="L3870" s="25"/>
    </row>
    <row r="3871" spans="1:12" s="40" customFormat="1" ht="18" customHeight="1" x14ac:dyDescent="0.15">
      <c r="A3871" s="25">
        <v>4544</v>
      </c>
      <c r="B3871" s="25" t="s">
        <v>373</v>
      </c>
      <c r="C3871" s="25" t="s">
        <v>376</v>
      </c>
      <c r="D3871" s="25">
        <v>1</v>
      </c>
      <c r="E3871" s="25" t="s">
        <v>4</v>
      </c>
      <c r="F3871" s="38">
        <v>23100</v>
      </c>
      <c r="G3871" s="38" t="s">
        <v>668</v>
      </c>
      <c r="H3871" s="25" t="str">
        <f t="shared" si="124"/>
        <v>平成6年9月14日</v>
      </c>
      <c r="I3871" s="39">
        <f t="shared" si="125"/>
        <v>34591</v>
      </c>
      <c r="J3871" s="25" t="str">
        <f>"00745997"</f>
        <v>00745997</v>
      </c>
      <c r="K3871" s="25" t="str">
        <f>"３１２　　　　　　　　　　　　　　　　　"</f>
        <v>３１２　　　　　　　　　　　　　　　　　</v>
      </c>
      <c r="L3871" s="25"/>
    </row>
    <row r="3872" spans="1:12" s="40" customFormat="1" ht="18" customHeight="1" x14ac:dyDescent="0.15">
      <c r="A3872" s="25">
        <v>4545</v>
      </c>
      <c r="B3872" s="25" t="s">
        <v>373</v>
      </c>
      <c r="C3872" s="25" t="s">
        <v>376</v>
      </c>
      <c r="D3872" s="25">
        <v>1</v>
      </c>
      <c r="E3872" s="25" t="s">
        <v>4</v>
      </c>
      <c r="F3872" s="38">
        <v>23100</v>
      </c>
      <c r="G3872" s="38" t="s">
        <v>668</v>
      </c>
      <c r="H3872" s="25" t="str">
        <f t="shared" si="124"/>
        <v>平成6年9月14日</v>
      </c>
      <c r="I3872" s="39">
        <f t="shared" si="125"/>
        <v>34591</v>
      </c>
      <c r="J3872" s="25" t="str">
        <f>"00745999"</f>
        <v>00745999</v>
      </c>
      <c r="K3872" s="25" t="str">
        <f>"３１３　　　　　　　　　　　　　　　　　"</f>
        <v>３１３　　　　　　　　　　　　　　　　　</v>
      </c>
      <c r="L3872" s="25"/>
    </row>
    <row r="3873" spans="1:12" s="40" customFormat="1" ht="18" customHeight="1" x14ac:dyDescent="0.15">
      <c r="A3873" s="25">
        <v>4546</v>
      </c>
      <c r="B3873" s="25" t="s">
        <v>373</v>
      </c>
      <c r="C3873" s="25" t="s">
        <v>376</v>
      </c>
      <c r="D3873" s="25">
        <v>1</v>
      </c>
      <c r="E3873" s="25" t="s">
        <v>4</v>
      </c>
      <c r="F3873" s="38">
        <v>23100</v>
      </c>
      <c r="G3873" s="38" t="s">
        <v>668</v>
      </c>
      <c r="H3873" s="25" t="str">
        <f t="shared" si="124"/>
        <v>平成6年9月14日</v>
      </c>
      <c r="I3873" s="39">
        <f t="shared" si="125"/>
        <v>34591</v>
      </c>
      <c r="J3873" s="25" t="str">
        <f>"00746001"</f>
        <v>00746001</v>
      </c>
      <c r="K3873" s="25" t="str">
        <f>"３１４　　　　　　　　　　　　　　　　　"</f>
        <v>３１４　　　　　　　　　　　　　　　　　</v>
      </c>
      <c r="L3873" s="25"/>
    </row>
    <row r="3874" spans="1:12" s="40" customFormat="1" ht="18" customHeight="1" x14ac:dyDescent="0.15">
      <c r="A3874" s="25">
        <v>4547</v>
      </c>
      <c r="B3874" s="25" t="s">
        <v>373</v>
      </c>
      <c r="C3874" s="25" t="s">
        <v>376</v>
      </c>
      <c r="D3874" s="25">
        <v>1</v>
      </c>
      <c r="E3874" s="25" t="s">
        <v>4</v>
      </c>
      <c r="F3874" s="38">
        <v>23100</v>
      </c>
      <c r="G3874" s="38" t="s">
        <v>668</v>
      </c>
      <c r="H3874" s="25" t="str">
        <f t="shared" si="124"/>
        <v>平成6年9月14日</v>
      </c>
      <c r="I3874" s="39">
        <f t="shared" si="125"/>
        <v>34591</v>
      </c>
      <c r="J3874" s="25" t="str">
        <f>"00746003"</f>
        <v>00746003</v>
      </c>
      <c r="K3874" s="25" t="str">
        <f>"３１５　　　　　　　　　　　　　　　　　"</f>
        <v>３１５　　　　　　　　　　　　　　　　　</v>
      </c>
      <c r="L3874" s="25"/>
    </row>
    <row r="3875" spans="1:12" s="40" customFormat="1" ht="18" customHeight="1" x14ac:dyDescent="0.15">
      <c r="A3875" s="25">
        <v>4548</v>
      </c>
      <c r="B3875" s="25" t="s">
        <v>373</v>
      </c>
      <c r="C3875" s="25" t="s">
        <v>377</v>
      </c>
      <c r="D3875" s="25">
        <v>1</v>
      </c>
      <c r="E3875" s="25" t="s">
        <v>4</v>
      </c>
      <c r="F3875" s="38">
        <v>26200</v>
      </c>
      <c r="G3875" s="38" t="s">
        <v>668</v>
      </c>
      <c r="H3875" s="25" t="str">
        <f t="shared" si="124"/>
        <v>平成6年9月14日</v>
      </c>
      <c r="I3875" s="39">
        <f t="shared" si="125"/>
        <v>34591</v>
      </c>
      <c r="J3875" s="25" t="str">
        <f>"00746005"</f>
        <v>00746005</v>
      </c>
      <c r="K3875" s="25" t="str">
        <f>"３１８　　　　　　　　　　　　　　　　　"</f>
        <v>３１８　　　　　　　　　　　　　　　　　</v>
      </c>
      <c r="L3875" s="25"/>
    </row>
    <row r="3876" spans="1:12" s="40" customFormat="1" ht="18" customHeight="1" x14ac:dyDescent="0.15">
      <c r="A3876" s="25">
        <v>4549</v>
      </c>
      <c r="B3876" s="25" t="s">
        <v>373</v>
      </c>
      <c r="C3876" s="25" t="s">
        <v>377</v>
      </c>
      <c r="D3876" s="25">
        <v>1</v>
      </c>
      <c r="E3876" s="25" t="s">
        <v>4</v>
      </c>
      <c r="F3876" s="38">
        <v>26200</v>
      </c>
      <c r="G3876" s="38" t="s">
        <v>668</v>
      </c>
      <c r="H3876" s="25" t="str">
        <f t="shared" si="124"/>
        <v>平成6年9月14日</v>
      </c>
      <c r="I3876" s="39">
        <f t="shared" si="125"/>
        <v>34591</v>
      </c>
      <c r="J3876" s="25" t="str">
        <f>"00746007"</f>
        <v>00746007</v>
      </c>
      <c r="K3876" s="25" t="str">
        <f>"３１９　　　　　　　　　　　　　　　　　"</f>
        <v>３１９　　　　　　　　　　　　　　　　　</v>
      </c>
      <c r="L3876" s="25"/>
    </row>
    <row r="3877" spans="1:12" s="40" customFormat="1" ht="18" customHeight="1" x14ac:dyDescent="0.15">
      <c r="A3877" s="25">
        <v>4550</v>
      </c>
      <c r="B3877" s="25" t="s">
        <v>373</v>
      </c>
      <c r="C3877" s="25" t="s">
        <v>377</v>
      </c>
      <c r="D3877" s="25">
        <v>1</v>
      </c>
      <c r="E3877" s="25" t="s">
        <v>4</v>
      </c>
      <c r="F3877" s="38">
        <v>26200</v>
      </c>
      <c r="G3877" s="38" t="s">
        <v>668</v>
      </c>
      <c r="H3877" s="25" t="str">
        <f t="shared" si="124"/>
        <v>平成6年9月14日</v>
      </c>
      <c r="I3877" s="39">
        <f t="shared" si="125"/>
        <v>34591</v>
      </c>
      <c r="J3877" s="25" t="str">
        <f>"00746009"</f>
        <v>00746009</v>
      </c>
      <c r="K3877" s="25" t="str">
        <f>"３２０　　　　　　　　　　　　　　　　　"</f>
        <v>３２０　　　　　　　　　　　　　　　　　</v>
      </c>
      <c r="L3877" s="25"/>
    </row>
    <row r="3878" spans="1:12" s="40" customFormat="1" ht="18" customHeight="1" x14ac:dyDescent="0.15">
      <c r="A3878" s="25">
        <v>4551</v>
      </c>
      <c r="B3878" s="25" t="s">
        <v>373</v>
      </c>
      <c r="C3878" s="25" t="s">
        <v>377</v>
      </c>
      <c r="D3878" s="25">
        <v>1</v>
      </c>
      <c r="E3878" s="25" t="s">
        <v>4</v>
      </c>
      <c r="F3878" s="38">
        <v>26200</v>
      </c>
      <c r="G3878" s="38" t="s">
        <v>668</v>
      </c>
      <c r="H3878" s="25" t="str">
        <f t="shared" si="124"/>
        <v>平成6年9月14日</v>
      </c>
      <c r="I3878" s="39">
        <f t="shared" si="125"/>
        <v>34591</v>
      </c>
      <c r="J3878" s="25" t="str">
        <f>"00746011"</f>
        <v>00746011</v>
      </c>
      <c r="K3878" s="25" t="str">
        <f>"３２１　　　　　　　　　　　　　　　　　"</f>
        <v>３２１　　　　　　　　　　　　　　　　　</v>
      </c>
      <c r="L3878" s="25"/>
    </row>
    <row r="3879" spans="1:12" s="40" customFormat="1" ht="18" customHeight="1" x14ac:dyDescent="0.15">
      <c r="A3879" s="25">
        <v>4552</v>
      </c>
      <c r="B3879" s="25" t="s">
        <v>373</v>
      </c>
      <c r="C3879" s="25" t="s">
        <v>377</v>
      </c>
      <c r="D3879" s="25">
        <v>1</v>
      </c>
      <c r="E3879" s="25" t="s">
        <v>4</v>
      </c>
      <c r="F3879" s="38">
        <v>26200</v>
      </c>
      <c r="G3879" s="38" t="s">
        <v>668</v>
      </c>
      <c r="H3879" s="25" t="str">
        <f t="shared" si="124"/>
        <v>平成6年9月14日</v>
      </c>
      <c r="I3879" s="39">
        <f t="shared" si="125"/>
        <v>34591</v>
      </c>
      <c r="J3879" s="25" t="str">
        <f>"00746013"</f>
        <v>00746013</v>
      </c>
      <c r="K3879" s="25" t="str">
        <f>"３２２　　　　　　　　　　　　　　　　　"</f>
        <v>３２２　　　　　　　　　　　　　　　　　</v>
      </c>
      <c r="L3879" s="25"/>
    </row>
    <row r="3880" spans="1:12" s="40" customFormat="1" ht="18" customHeight="1" x14ac:dyDescent="0.15">
      <c r="A3880" s="25">
        <v>4553</v>
      </c>
      <c r="B3880" s="25" t="s">
        <v>373</v>
      </c>
      <c r="C3880" s="25" t="s">
        <v>378</v>
      </c>
      <c r="D3880" s="25">
        <v>1</v>
      </c>
      <c r="E3880" s="25" t="s">
        <v>4</v>
      </c>
      <c r="F3880" s="38">
        <v>21000</v>
      </c>
      <c r="G3880" s="38" t="s">
        <v>668</v>
      </c>
      <c r="H3880" s="25" t="str">
        <f t="shared" si="124"/>
        <v>平成6年9月14日</v>
      </c>
      <c r="I3880" s="39">
        <f t="shared" si="125"/>
        <v>34591</v>
      </c>
      <c r="J3880" s="25" t="str">
        <f>"00746015"</f>
        <v>00746015</v>
      </c>
      <c r="K3880" s="25" t="str">
        <f>"３２３　　　　　　　　　　　　　　　　　"</f>
        <v>３２３　　　　　　　　　　　　　　　　　</v>
      </c>
      <c r="L3880" s="25"/>
    </row>
    <row r="3881" spans="1:12" s="40" customFormat="1" ht="18" customHeight="1" x14ac:dyDescent="0.15">
      <c r="A3881" s="25">
        <v>4554</v>
      </c>
      <c r="B3881" s="25" t="s">
        <v>373</v>
      </c>
      <c r="C3881" s="25" t="s">
        <v>378</v>
      </c>
      <c r="D3881" s="25">
        <v>1</v>
      </c>
      <c r="E3881" s="25" t="s">
        <v>4</v>
      </c>
      <c r="F3881" s="38">
        <v>21000</v>
      </c>
      <c r="G3881" s="38" t="s">
        <v>668</v>
      </c>
      <c r="H3881" s="25" t="str">
        <f t="shared" si="124"/>
        <v>平成6年9月14日</v>
      </c>
      <c r="I3881" s="39">
        <f t="shared" si="125"/>
        <v>34591</v>
      </c>
      <c r="J3881" s="25" t="str">
        <f>"00746017"</f>
        <v>00746017</v>
      </c>
      <c r="K3881" s="25" t="str">
        <f>"３２４　　　　　　　　　　　　　　　　　"</f>
        <v>３２４　　　　　　　　　　　　　　　　　</v>
      </c>
      <c r="L3881" s="25"/>
    </row>
    <row r="3882" spans="1:12" s="40" customFormat="1" ht="18" customHeight="1" x14ac:dyDescent="0.15">
      <c r="A3882" s="25">
        <v>4555</v>
      </c>
      <c r="B3882" s="25" t="s">
        <v>373</v>
      </c>
      <c r="C3882" s="25" t="s">
        <v>378</v>
      </c>
      <c r="D3882" s="25">
        <v>1</v>
      </c>
      <c r="E3882" s="25" t="s">
        <v>4</v>
      </c>
      <c r="F3882" s="38">
        <v>21000</v>
      </c>
      <c r="G3882" s="38" t="s">
        <v>668</v>
      </c>
      <c r="H3882" s="25" t="str">
        <f t="shared" si="124"/>
        <v>平成6年9月14日</v>
      </c>
      <c r="I3882" s="39">
        <f t="shared" si="125"/>
        <v>34591</v>
      </c>
      <c r="J3882" s="25" t="str">
        <f>"00746019"</f>
        <v>00746019</v>
      </c>
      <c r="K3882" s="25" t="str">
        <f>"３２５　　　　　　　　　　　　　　　　　"</f>
        <v>３２５　　　　　　　　　　　　　　　　　</v>
      </c>
      <c r="L3882" s="25"/>
    </row>
    <row r="3883" spans="1:12" s="40" customFormat="1" ht="18" customHeight="1" x14ac:dyDescent="0.15">
      <c r="A3883" s="25">
        <v>4556</v>
      </c>
      <c r="B3883" s="25" t="s">
        <v>373</v>
      </c>
      <c r="C3883" s="25" t="s">
        <v>378</v>
      </c>
      <c r="D3883" s="25">
        <v>1</v>
      </c>
      <c r="E3883" s="25" t="s">
        <v>4</v>
      </c>
      <c r="F3883" s="38">
        <v>21000</v>
      </c>
      <c r="G3883" s="38" t="s">
        <v>668</v>
      </c>
      <c r="H3883" s="25" t="str">
        <f t="shared" si="124"/>
        <v>平成6年9月14日</v>
      </c>
      <c r="I3883" s="39">
        <f t="shared" si="125"/>
        <v>34591</v>
      </c>
      <c r="J3883" s="25" t="str">
        <f>"00746021"</f>
        <v>00746021</v>
      </c>
      <c r="K3883" s="25" t="str">
        <f>"３２６　　　　　　　　　　　　　　　　　"</f>
        <v>３２６　　　　　　　　　　　　　　　　　</v>
      </c>
      <c r="L3883" s="25"/>
    </row>
    <row r="3884" spans="1:12" s="40" customFormat="1" ht="18" customHeight="1" x14ac:dyDescent="0.15">
      <c r="A3884" s="25">
        <v>4557</v>
      </c>
      <c r="B3884" s="25" t="s">
        <v>373</v>
      </c>
      <c r="C3884" s="25" t="s">
        <v>378</v>
      </c>
      <c r="D3884" s="25">
        <v>1</v>
      </c>
      <c r="E3884" s="25" t="s">
        <v>4</v>
      </c>
      <c r="F3884" s="38">
        <v>21000</v>
      </c>
      <c r="G3884" s="38" t="s">
        <v>668</v>
      </c>
      <c r="H3884" s="25" t="str">
        <f t="shared" si="124"/>
        <v>平成6年9月14日</v>
      </c>
      <c r="I3884" s="39">
        <f t="shared" si="125"/>
        <v>34591</v>
      </c>
      <c r="J3884" s="25" t="str">
        <f>"00746023"</f>
        <v>00746023</v>
      </c>
      <c r="K3884" s="25" t="str">
        <f>"３３１　　　　　　　　　　　　　　　　　"</f>
        <v>３３１　　　　　　　　　　　　　　　　　</v>
      </c>
      <c r="L3884" s="25"/>
    </row>
    <row r="3885" spans="1:12" s="40" customFormat="1" ht="18" customHeight="1" x14ac:dyDescent="0.15">
      <c r="A3885" s="25">
        <v>4558</v>
      </c>
      <c r="B3885" s="25" t="s">
        <v>373</v>
      </c>
      <c r="C3885" s="25" t="s">
        <v>378</v>
      </c>
      <c r="D3885" s="25">
        <v>1</v>
      </c>
      <c r="E3885" s="25" t="s">
        <v>4</v>
      </c>
      <c r="F3885" s="38">
        <v>21000</v>
      </c>
      <c r="G3885" s="38" t="s">
        <v>668</v>
      </c>
      <c r="H3885" s="25" t="str">
        <f t="shared" si="124"/>
        <v>平成6年9月14日</v>
      </c>
      <c r="I3885" s="39">
        <f t="shared" si="125"/>
        <v>34591</v>
      </c>
      <c r="J3885" s="25" t="str">
        <f>"00746025"</f>
        <v>00746025</v>
      </c>
      <c r="K3885" s="25" t="str">
        <f>"３３２　　　　　　　　　　　　　　　　　"</f>
        <v>３３２　　　　　　　　　　　　　　　　　</v>
      </c>
      <c r="L3885" s="25"/>
    </row>
    <row r="3886" spans="1:12" s="40" customFormat="1" ht="18" customHeight="1" x14ac:dyDescent="0.15">
      <c r="A3886" s="25">
        <v>4559</v>
      </c>
      <c r="B3886" s="25" t="s">
        <v>373</v>
      </c>
      <c r="C3886" s="25" t="s">
        <v>378</v>
      </c>
      <c r="D3886" s="25">
        <v>1</v>
      </c>
      <c r="E3886" s="25" t="s">
        <v>4</v>
      </c>
      <c r="F3886" s="38">
        <v>21000</v>
      </c>
      <c r="G3886" s="38" t="s">
        <v>668</v>
      </c>
      <c r="H3886" s="25" t="str">
        <f t="shared" si="124"/>
        <v>平成6年9月14日</v>
      </c>
      <c r="I3886" s="39">
        <f t="shared" si="125"/>
        <v>34591</v>
      </c>
      <c r="J3886" s="25" t="str">
        <f>"00746026"</f>
        <v>00746026</v>
      </c>
      <c r="K3886" s="25" t="str">
        <f>"３３３　　　　　　　　　　　　　　　　　"</f>
        <v>３３３　　　　　　　　　　　　　　　　　</v>
      </c>
      <c r="L3886" s="25"/>
    </row>
    <row r="3887" spans="1:12" s="40" customFormat="1" ht="18" customHeight="1" x14ac:dyDescent="0.15">
      <c r="A3887" s="25">
        <v>4560</v>
      </c>
      <c r="B3887" s="25" t="s">
        <v>373</v>
      </c>
      <c r="C3887" s="25" t="s">
        <v>378</v>
      </c>
      <c r="D3887" s="25">
        <v>1</v>
      </c>
      <c r="E3887" s="25" t="s">
        <v>4</v>
      </c>
      <c r="F3887" s="38">
        <v>21000</v>
      </c>
      <c r="G3887" s="38" t="s">
        <v>668</v>
      </c>
      <c r="H3887" s="25" t="str">
        <f t="shared" si="124"/>
        <v>平成6年9月14日</v>
      </c>
      <c r="I3887" s="39">
        <f t="shared" si="125"/>
        <v>34591</v>
      </c>
      <c r="J3887" s="25" t="str">
        <f>"00746028"</f>
        <v>00746028</v>
      </c>
      <c r="K3887" s="25" t="str">
        <f>"３３４　　　　　　　　　　　　　　　　　"</f>
        <v>３３４　　　　　　　　　　　　　　　　　</v>
      </c>
      <c r="L3887" s="25"/>
    </row>
    <row r="3888" spans="1:12" s="40" customFormat="1" ht="18" customHeight="1" x14ac:dyDescent="0.15">
      <c r="A3888" s="25">
        <v>4561</v>
      </c>
      <c r="B3888" s="25" t="s">
        <v>373</v>
      </c>
      <c r="C3888" s="25" t="s">
        <v>378</v>
      </c>
      <c r="D3888" s="25">
        <v>1</v>
      </c>
      <c r="E3888" s="25" t="s">
        <v>4</v>
      </c>
      <c r="F3888" s="38">
        <v>21000</v>
      </c>
      <c r="G3888" s="38" t="s">
        <v>668</v>
      </c>
      <c r="H3888" s="25" t="str">
        <f t="shared" si="124"/>
        <v>平成6年9月14日</v>
      </c>
      <c r="I3888" s="39">
        <f t="shared" si="125"/>
        <v>34591</v>
      </c>
      <c r="J3888" s="25" t="str">
        <f>"00746030"</f>
        <v>00746030</v>
      </c>
      <c r="K3888" s="25" t="str">
        <f>"３３５　　　　　　　　　　　　　　　　　"</f>
        <v>３３５　　　　　　　　　　　　　　　　　</v>
      </c>
      <c r="L3888" s="25"/>
    </row>
    <row r="3889" spans="1:12" s="40" customFormat="1" ht="18" customHeight="1" x14ac:dyDescent="0.15">
      <c r="A3889" s="25">
        <v>4562</v>
      </c>
      <c r="B3889" s="25" t="s">
        <v>379</v>
      </c>
      <c r="C3889" s="25" t="s">
        <v>380</v>
      </c>
      <c r="D3889" s="25">
        <v>1</v>
      </c>
      <c r="E3889" s="25" t="s">
        <v>4</v>
      </c>
      <c r="F3889" s="38">
        <v>22316</v>
      </c>
      <c r="G3889" s="38" t="s">
        <v>668</v>
      </c>
      <c r="H3889" s="25" t="str">
        <f t="shared" si="124"/>
        <v>平成6年9月14日</v>
      </c>
      <c r="I3889" s="39">
        <f t="shared" si="125"/>
        <v>34591</v>
      </c>
      <c r="J3889" s="25" t="str">
        <f>"00746032"</f>
        <v>00746032</v>
      </c>
      <c r="K3889" s="25" t="str">
        <f>"３０１　　　　　　　　　　　　　　　　　"</f>
        <v>３０１　　　　　　　　　　　　　　　　　</v>
      </c>
      <c r="L3889" s="25"/>
    </row>
    <row r="3890" spans="1:12" s="40" customFormat="1" ht="18" customHeight="1" x14ac:dyDescent="0.15">
      <c r="A3890" s="25">
        <v>4563</v>
      </c>
      <c r="B3890" s="25" t="s">
        <v>379</v>
      </c>
      <c r="C3890" s="25" t="s">
        <v>380</v>
      </c>
      <c r="D3890" s="25">
        <v>1</v>
      </c>
      <c r="E3890" s="25" t="s">
        <v>4</v>
      </c>
      <c r="F3890" s="38">
        <v>22316</v>
      </c>
      <c r="G3890" s="38" t="s">
        <v>668</v>
      </c>
      <c r="H3890" s="25" t="str">
        <f t="shared" si="124"/>
        <v>平成6年9月14日</v>
      </c>
      <c r="I3890" s="39">
        <f t="shared" si="125"/>
        <v>34591</v>
      </c>
      <c r="J3890" s="25" t="str">
        <f>"00746034"</f>
        <v>00746034</v>
      </c>
      <c r="K3890" s="25" t="str">
        <f>"３０２　　　　　　　　　　　　　　　　　"</f>
        <v>３０２　　　　　　　　　　　　　　　　　</v>
      </c>
      <c r="L3890" s="25"/>
    </row>
    <row r="3891" spans="1:12" s="40" customFormat="1" ht="18" customHeight="1" x14ac:dyDescent="0.15">
      <c r="A3891" s="25">
        <v>4564</v>
      </c>
      <c r="B3891" s="25" t="s">
        <v>379</v>
      </c>
      <c r="C3891" s="25" t="s">
        <v>380</v>
      </c>
      <c r="D3891" s="25">
        <v>1</v>
      </c>
      <c r="E3891" s="25" t="s">
        <v>4</v>
      </c>
      <c r="F3891" s="38">
        <v>22316</v>
      </c>
      <c r="G3891" s="38" t="s">
        <v>668</v>
      </c>
      <c r="H3891" s="25" t="str">
        <f t="shared" si="124"/>
        <v>平成6年9月14日</v>
      </c>
      <c r="I3891" s="39">
        <f t="shared" si="125"/>
        <v>34591</v>
      </c>
      <c r="J3891" s="25" t="str">
        <f>"00746036"</f>
        <v>00746036</v>
      </c>
      <c r="K3891" s="25" t="str">
        <f>"３０３　　　　　　　　　　　　　　　　　"</f>
        <v>３０３　　　　　　　　　　　　　　　　　</v>
      </c>
      <c r="L3891" s="25"/>
    </row>
    <row r="3892" spans="1:12" s="40" customFormat="1" ht="18" customHeight="1" x14ac:dyDescent="0.15">
      <c r="A3892" s="25">
        <v>4565</v>
      </c>
      <c r="B3892" s="25" t="s">
        <v>379</v>
      </c>
      <c r="C3892" s="25" t="s">
        <v>380</v>
      </c>
      <c r="D3892" s="25">
        <v>1</v>
      </c>
      <c r="E3892" s="25" t="s">
        <v>4</v>
      </c>
      <c r="F3892" s="38">
        <v>22316</v>
      </c>
      <c r="G3892" s="38" t="s">
        <v>668</v>
      </c>
      <c r="H3892" s="25" t="str">
        <f t="shared" si="124"/>
        <v>平成6年9月14日</v>
      </c>
      <c r="I3892" s="39">
        <f t="shared" si="125"/>
        <v>34591</v>
      </c>
      <c r="J3892" s="25" t="str">
        <f>"00746039"</f>
        <v>00746039</v>
      </c>
      <c r="K3892" s="25" t="str">
        <f>"３０４　　　　　　　　　　　　　　　　　"</f>
        <v>３０４　　　　　　　　　　　　　　　　　</v>
      </c>
      <c r="L3892" s="25"/>
    </row>
    <row r="3893" spans="1:12" s="40" customFormat="1" ht="18" customHeight="1" x14ac:dyDescent="0.15">
      <c r="A3893" s="25">
        <v>4566</v>
      </c>
      <c r="B3893" s="25" t="s">
        <v>379</v>
      </c>
      <c r="C3893" s="25" t="s">
        <v>380</v>
      </c>
      <c r="D3893" s="25">
        <v>1</v>
      </c>
      <c r="E3893" s="25" t="s">
        <v>4</v>
      </c>
      <c r="F3893" s="38">
        <v>22316</v>
      </c>
      <c r="G3893" s="38" t="s">
        <v>668</v>
      </c>
      <c r="H3893" s="25" t="str">
        <f t="shared" si="124"/>
        <v>平成6年9月14日</v>
      </c>
      <c r="I3893" s="39">
        <f t="shared" si="125"/>
        <v>34591</v>
      </c>
      <c r="J3893" s="25" t="str">
        <f>"00746040"</f>
        <v>00746040</v>
      </c>
      <c r="K3893" s="25" t="str">
        <f>"３０５　　　　　　　　　　　　　　　　　"</f>
        <v>３０５　　　　　　　　　　　　　　　　　</v>
      </c>
      <c r="L3893" s="25"/>
    </row>
    <row r="3894" spans="1:12" s="40" customFormat="1" ht="18" customHeight="1" x14ac:dyDescent="0.15">
      <c r="A3894" s="25">
        <v>4567</v>
      </c>
      <c r="B3894" s="25" t="s">
        <v>379</v>
      </c>
      <c r="C3894" s="25" t="s">
        <v>380</v>
      </c>
      <c r="D3894" s="25">
        <v>1</v>
      </c>
      <c r="E3894" s="25" t="s">
        <v>4</v>
      </c>
      <c r="F3894" s="38">
        <v>22316</v>
      </c>
      <c r="G3894" s="38" t="s">
        <v>668</v>
      </c>
      <c r="H3894" s="25" t="str">
        <f t="shared" si="124"/>
        <v>平成6年9月14日</v>
      </c>
      <c r="I3894" s="39">
        <f t="shared" si="125"/>
        <v>34591</v>
      </c>
      <c r="J3894" s="25" t="str">
        <f>"00746042"</f>
        <v>00746042</v>
      </c>
      <c r="K3894" s="25" t="str">
        <f>"３０６　　　　　　　　　　　　　　　　　"</f>
        <v>３０６　　　　　　　　　　　　　　　　　</v>
      </c>
      <c r="L3894" s="25"/>
    </row>
    <row r="3895" spans="1:12" s="40" customFormat="1" ht="18" customHeight="1" x14ac:dyDescent="0.15">
      <c r="A3895" s="25">
        <v>4568</v>
      </c>
      <c r="B3895" s="25" t="s">
        <v>379</v>
      </c>
      <c r="C3895" s="25" t="s">
        <v>380</v>
      </c>
      <c r="D3895" s="25">
        <v>1</v>
      </c>
      <c r="E3895" s="25" t="s">
        <v>4</v>
      </c>
      <c r="F3895" s="38">
        <v>22316</v>
      </c>
      <c r="G3895" s="38" t="s">
        <v>668</v>
      </c>
      <c r="H3895" s="25" t="str">
        <f t="shared" si="124"/>
        <v>平成6年9月14日</v>
      </c>
      <c r="I3895" s="39">
        <f t="shared" si="125"/>
        <v>34591</v>
      </c>
      <c r="J3895" s="25" t="str">
        <f>"00746045"</f>
        <v>00746045</v>
      </c>
      <c r="K3895" s="25" t="str">
        <f>"３０７　　　　　　　　　　　　　　　　　"</f>
        <v>３０７　　　　　　　　　　　　　　　　　</v>
      </c>
      <c r="L3895" s="25"/>
    </row>
    <row r="3896" spans="1:12" s="40" customFormat="1" ht="18" customHeight="1" x14ac:dyDescent="0.15">
      <c r="A3896" s="25">
        <v>4569</v>
      </c>
      <c r="B3896" s="25" t="s">
        <v>379</v>
      </c>
      <c r="C3896" s="25" t="s">
        <v>380</v>
      </c>
      <c r="D3896" s="25">
        <v>1</v>
      </c>
      <c r="E3896" s="25" t="s">
        <v>4</v>
      </c>
      <c r="F3896" s="38">
        <v>22316</v>
      </c>
      <c r="G3896" s="38" t="s">
        <v>668</v>
      </c>
      <c r="H3896" s="25" t="str">
        <f t="shared" si="124"/>
        <v>平成6年9月14日</v>
      </c>
      <c r="I3896" s="39">
        <f t="shared" si="125"/>
        <v>34591</v>
      </c>
      <c r="J3896" s="25" t="str">
        <f>"00746046"</f>
        <v>00746046</v>
      </c>
      <c r="K3896" s="25" t="str">
        <f>"３０８　　　　　　　　　　　　　　　　　"</f>
        <v>３０８　　　　　　　　　　　　　　　　　</v>
      </c>
      <c r="L3896" s="25"/>
    </row>
    <row r="3897" spans="1:12" s="40" customFormat="1" ht="18" customHeight="1" x14ac:dyDescent="0.15">
      <c r="A3897" s="25">
        <v>4570</v>
      </c>
      <c r="B3897" s="25" t="s">
        <v>379</v>
      </c>
      <c r="C3897" s="25" t="s">
        <v>380</v>
      </c>
      <c r="D3897" s="25">
        <v>1</v>
      </c>
      <c r="E3897" s="25" t="s">
        <v>4</v>
      </c>
      <c r="F3897" s="38">
        <v>22316</v>
      </c>
      <c r="G3897" s="38" t="s">
        <v>668</v>
      </c>
      <c r="H3897" s="25" t="str">
        <f t="shared" si="124"/>
        <v>平成6年9月14日</v>
      </c>
      <c r="I3897" s="39">
        <f t="shared" si="125"/>
        <v>34591</v>
      </c>
      <c r="J3897" s="25" t="str">
        <f>"00746048"</f>
        <v>00746048</v>
      </c>
      <c r="K3897" s="25" t="str">
        <f>"３０９　　　　　　　　　　　　　　　　　"</f>
        <v>３０９　　　　　　　　　　　　　　　　　</v>
      </c>
      <c r="L3897" s="25"/>
    </row>
    <row r="3898" spans="1:12" s="40" customFormat="1" ht="18" customHeight="1" x14ac:dyDescent="0.15">
      <c r="A3898" s="25">
        <v>4571</v>
      </c>
      <c r="B3898" s="25" t="s">
        <v>379</v>
      </c>
      <c r="C3898" s="25" t="s">
        <v>380</v>
      </c>
      <c r="D3898" s="25">
        <v>1</v>
      </c>
      <c r="E3898" s="25" t="s">
        <v>4</v>
      </c>
      <c r="F3898" s="38">
        <v>22316</v>
      </c>
      <c r="G3898" s="38" t="s">
        <v>668</v>
      </c>
      <c r="H3898" s="25" t="str">
        <f t="shared" si="124"/>
        <v>平成6年9月14日</v>
      </c>
      <c r="I3898" s="39">
        <f t="shared" si="125"/>
        <v>34591</v>
      </c>
      <c r="J3898" s="25" t="str">
        <f>"00746050"</f>
        <v>00746050</v>
      </c>
      <c r="K3898" s="25" t="str">
        <f>"３１０　　　　　　　　　　　　　　　　　"</f>
        <v>３１０　　　　　　　　　　　　　　　　　</v>
      </c>
      <c r="L3898" s="25"/>
    </row>
    <row r="3899" spans="1:12" s="40" customFormat="1" ht="18" customHeight="1" x14ac:dyDescent="0.15">
      <c r="A3899" s="25">
        <v>4572</v>
      </c>
      <c r="B3899" s="25" t="s">
        <v>379</v>
      </c>
      <c r="C3899" s="25" t="s">
        <v>380</v>
      </c>
      <c r="D3899" s="25">
        <v>1</v>
      </c>
      <c r="E3899" s="25" t="s">
        <v>4</v>
      </c>
      <c r="F3899" s="38">
        <v>22316</v>
      </c>
      <c r="G3899" s="38" t="s">
        <v>668</v>
      </c>
      <c r="H3899" s="25" t="str">
        <f t="shared" si="124"/>
        <v>平成6年9月14日</v>
      </c>
      <c r="I3899" s="39">
        <f t="shared" si="125"/>
        <v>34591</v>
      </c>
      <c r="J3899" s="25" t="str">
        <f>"00746053"</f>
        <v>00746053</v>
      </c>
      <c r="K3899" s="25" t="str">
        <f>"３１１　　　　　　　　　　　　　　　　　"</f>
        <v>３１１　　　　　　　　　　　　　　　　　</v>
      </c>
      <c r="L3899" s="25"/>
    </row>
    <row r="3900" spans="1:12" s="40" customFormat="1" ht="18" customHeight="1" x14ac:dyDescent="0.15">
      <c r="A3900" s="25">
        <v>4573</v>
      </c>
      <c r="B3900" s="25" t="s">
        <v>379</v>
      </c>
      <c r="C3900" s="25" t="s">
        <v>380</v>
      </c>
      <c r="D3900" s="25">
        <v>1</v>
      </c>
      <c r="E3900" s="25" t="s">
        <v>4</v>
      </c>
      <c r="F3900" s="38">
        <v>22316</v>
      </c>
      <c r="G3900" s="38" t="s">
        <v>668</v>
      </c>
      <c r="H3900" s="25" t="str">
        <f t="shared" si="124"/>
        <v>平成6年9月14日</v>
      </c>
      <c r="I3900" s="39">
        <f t="shared" si="125"/>
        <v>34591</v>
      </c>
      <c r="J3900" s="25" t="str">
        <f>"00746055"</f>
        <v>00746055</v>
      </c>
      <c r="K3900" s="25" t="str">
        <f>"３１２　　　　　　　　　　　　　　　　　"</f>
        <v>３１２　　　　　　　　　　　　　　　　　</v>
      </c>
      <c r="L3900" s="25"/>
    </row>
    <row r="3901" spans="1:12" s="40" customFormat="1" ht="18" customHeight="1" x14ac:dyDescent="0.15">
      <c r="A3901" s="25">
        <v>4574</v>
      </c>
      <c r="B3901" s="25" t="s">
        <v>379</v>
      </c>
      <c r="C3901" s="25" t="s">
        <v>380</v>
      </c>
      <c r="D3901" s="25">
        <v>1</v>
      </c>
      <c r="E3901" s="25" t="s">
        <v>4</v>
      </c>
      <c r="F3901" s="38">
        <v>22316</v>
      </c>
      <c r="G3901" s="38" t="s">
        <v>668</v>
      </c>
      <c r="H3901" s="25" t="str">
        <f t="shared" si="124"/>
        <v>平成6年9月14日</v>
      </c>
      <c r="I3901" s="39">
        <f t="shared" si="125"/>
        <v>34591</v>
      </c>
      <c r="J3901" s="25" t="str">
        <f>"00746057"</f>
        <v>00746057</v>
      </c>
      <c r="K3901" s="25" t="str">
        <f>"３１３　　　　　　　　　　　　　　　　　"</f>
        <v>３１３　　　　　　　　　　　　　　　　　</v>
      </c>
      <c r="L3901" s="25"/>
    </row>
    <row r="3902" spans="1:12" s="40" customFormat="1" ht="18" customHeight="1" x14ac:dyDescent="0.15">
      <c r="A3902" s="25">
        <v>4575</v>
      </c>
      <c r="B3902" s="25" t="s">
        <v>379</v>
      </c>
      <c r="C3902" s="25" t="s">
        <v>380</v>
      </c>
      <c r="D3902" s="25">
        <v>1</v>
      </c>
      <c r="E3902" s="25" t="s">
        <v>4</v>
      </c>
      <c r="F3902" s="38">
        <v>22316</v>
      </c>
      <c r="G3902" s="38" t="s">
        <v>668</v>
      </c>
      <c r="H3902" s="25" t="str">
        <f t="shared" si="124"/>
        <v>平成6年9月14日</v>
      </c>
      <c r="I3902" s="39">
        <f t="shared" si="125"/>
        <v>34591</v>
      </c>
      <c r="J3902" s="25" t="str">
        <f>"00746059"</f>
        <v>00746059</v>
      </c>
      <c r="K3902" s="25" t="str">
        <f>"３１４　　　　　　　　　　　　　　　　　"</f>
        <v>３１４　　　　　　　　　　　　　　　　　</v>
      </c>
      <c r="L3902" s="25"/>
    </row>
    <row r="3903" spans="1:12" s="40" customFormat="1" ht="18" customHeight="1" x14ac:dyDescent="0.15">
      <c r="A3903" s="25">
        <v>4576</v>
      </c>
      <c r="B3903" s="25" t="s">
        <v>379</v>
      </c>
      <c r="C3903" s="25" t="s">
        <v>380</v>
      </c>
      <c r="D3903" s="25">
        <v>1</v>
      </c>
      <c r="E3903" s="25" t="s">
        <v>4</v>
      </c>
      <c r="F3903" s="38">
        <v>22316</v>
      </c>
      <c r="G3903" s="38" t="s">
        <v>668</v>
      </c>
      <c r="H3903" s="25" t="str">
        <f t="shared" si="124"/>
        <v>平成6年9月14日</v>
      </c>
      <c r="I3903" s="39">
        <f t="shared" si="125"/>
        <v>34591</v>
      </c>
      <c r="J3903" s="25" t="str">
        <f>"00746061"</f>
        <v>00746061</v>
      </c>
      <c r="K3903" s="25" t="str">
        <f>"３１５　　　　　　　　　　　　　　　　　"</f>
        <v>３１５　　　　　　　　　　　　　　　　　</v>
      </c>
      <c r="L3903" s="25"/>
    </row>
    <row r="3904" spans="1:12" s="40" customFormat="1" ht="18" customHeight="1" x14ac:dyDescent="0.15">
      <c r="A3904" s="25">
        <v>4583</v>
      </c>
      <c r="B3904" s="25" t="s">
        <v>382</v>
      </c>
      <c r="C3904" s="25" t="s">
        <v>384</v>
      </c>
      <c r="D3904" s="25">
        <v>1</v>
      </c>
      <c r="E3904" s="25" t="s">
        <v>4</v>
      </c>
      <c r="F3904" s="38">
        <v>146000</v>
      </c>
      <c r="G3904" s="38" t="s">
        <v>668</v>
      </c>
      <c r="H3904" s="25" t="str">
        <f t="shared" si="124"/>
        <v>平成6年9月14日</v>
      </c>
      <c r="I3904" s="39">
        <f t="shared" si="125"/>
        <v>34591</v>
      </c>
      <c r="J3904" s="25" t="str">
        <f>"00746075"</f>
        <v>00746075</v>
      </c>
      <c r="K3904" s="25" t="str">
        <f>"３０６　　　　　　　　　　　　　　　　　"</f>
        <v>３０６　　　　　　　　　　　　　　　　　</v>
      </c>
      <c r="L3904" s="25"/>
    </row>
    <row r="3905" spans="1:12" s="40" customFormat="1" ht="18" customHeight="1" x14ac:dyDescent="0.15">
      <c r="A3905" s="25">
        <v>4584</v>
      </c>
      <c r="B3905" s="25" t="s">
        <v>382</v>
      </c>
      <c r="C3905" s="25" t="s">
        <v>384</v>
      </c>
      <c r="D3905" s="25">
        <v>1</v>
      </c>
      <c r="E3905" s="25" t="s">
        <v>4</v>
      </c>
      <c r="F3905" s="38">
        <v>146000</v>
      </c>
      <c r="G3905" s="38" t="s">
        <v>668</v>
      </c>
      <c r="H3905" s="25" t="str">
        <f t="shared" si="124"/>
        <v>平成6年9月14日</v>
      </c>
      <c r="I3905" s="39">
        <f t="shared" si="125"/>
        <v>34591</v>
      </c>
      <c r="J3905" s="25" t="str">
        <f>"00746077"</f>
        <v>00746077</v>
      </c>
      <c r="K3905" s="25" t="str">
        <f>"３０７　　　　　　　　　　　　　　　　　"</f>
        <v>３０７　　　　　　　　　　　　　　　　　</v>
      </c>
      <c r="L3905" s="25"/>
    </row>
    <row r="3906" spans="1:12" s="40" customFormat="1" ht="18" customHeight="1" x14ac:dyDescent="0.15">
      <c r="A3906" s="25">
        <v>4585</v>
      </c>
      <c r="B3906" s="25" t="s">
        <v>382</v>
      </c>
      <c r="C3906" s="25" t="s">
        <v>384</v>
      </c>
      <c r="D3906" s="25">
        <v>1</v>
      </c>
      <c r="E3906" s="25" t="s">
        <v>4</v>
      </c>
      <c r="F3906" s="38">
        <v>146000</v>
      </c>
      <c r="G3906" s="38" t="s">
        <v>668</v>
      </c>
      <c r="H3906" s="25" t="str">
        <f t="shared" si="124"/>
        <v>平成6年9月14日</v>
      </c>
      <c r="I3906" s="39">
        <f t="shared" si="125"/>
        <v>34591</v>
      </c>
      <c r="J3906" s="25" t="str">
        <f>"00746079"</f>
        <v>00746079</v>
      </c>
      <c r="K3906" s="25" t="str">
        <f>"３０８　　　　　　　　　　　　　　　　　"</f>
        <v>３０８　　　　　　　　　　　　　　　　　</v>
      </c>
      <c r="L3906" s="25"/>
    </row>
    <row r="3907" spans="1:12" s="40" customFormat="1" ht="18" customHeight="1" x14ac:dyDescent="0.15">
      <c r="A3907" s="25">
        <v>4586</v>
      </c>
      <c r="B3907" s="25" t="s">
        <v>382</v>
      </c>
      <c r="C3907" s="25" t="s">
        <v>384</v>
      </c>
      <c r="D3907" s="25">
        <v>1</v>
      </c>
      <c r="E3907" s="25" t="s">
        <v>4</v>
      </c>
      <c r="F3907" s="38">
        <v>146000</v>
      </c>
      <c r="G3907" s="38" t="s">
        <v>668</v>
      </c>
      <c r="H3907" s="25" t="str">
        <f t="shared" si="124"/>
        <v>平成6年9月14日</v>
      </c>
      <c r="I3907" s="39">
        <f t="shared" si="125"/>
        <v>34591</v>
      </c>
      <c r="J3907" s="25" t="str">
        <f>"00746081"</f>
        <v>00746081</v>
      </c>
      <c r="K3907" s="25" t="str">
        <f>"３０９　　　　　　　　　　　　　　　　　"</f>
        <v>３０９　　　　　　　　　　　　　　　　　</v>
      </c>
      <c r="L3907" s="25"/>
    </row>
    <row r="3908" spans="1:12" s="40" customFormat="1" ht="18" customHeight="1" x14ac:dyDescent="0.15">
      <c r="A3908" s="25">
        <v>4587</v>
      </c>
      <c r="B3908" s="25" t="s">
        <v>382</v>
      </c>
      <c r="C3908" s="25" t="s">
        <v>384</v>
      </c>
      <c r="D3908" s="25">
        <v>1</v>
      </c>
      <c r="E3908" s="25" t="s">
        <v>4</v>
      </c>
      <c r="F3908" s="38">
        <v>146000</v>
      </c>
      <c r="G3908" s="38" t="s">
        <v>668</v>
      </c>
      <c r="H3908" s="25" t="str">
        <f t="shared" si="124"/>
        <v>平成6年9月14日</v>
      </c>
      <c r="I3908" s="39">
        <f t="shared" si="125"/>
        <v>34591</v>
      </c>
      <c r="J3908" s="25" t="str">
        <f>"00746083"</f>
        <v>00746083</v>
      </c>
      <c r="K3908" s="25" t="str">
        <f>"３１０　　　　　　　　　　　　　　　　　"</f>
        <v>３１０　　　　　　　　　　　　　　　　　</v>
      </c>
      <c r="L3908" s="25"/>
    </row>
    <row r="3909" spans="1:12" s="40" customFormat="1" ht="18" customHeight="1" x14ac:dyDescent="0.15">
      <c r="A3909" s="25">
        <v>4588</v>
      </c>
      <c r="B3909" s="25" t="s">
        <v>382</v>
      </c>
      <c r="C3909" s="25" t="s">
        <v>384</v>
      </c>
      <c r="D3909" s="25">
        <v>1</v>
      </c>
      <c r="E3909" s="25" t="s">
        <v>4</v>
      </c>
      <c r="F3909" s="38">
        <v>146000</v>
      </c>
      <c r="G3909" s="38" t="s">
        <v>668</v>
      </c>
      <c r="H3909" s="25" t="str">
        <f t="shared" si="124"/>
        <v>平成6年9月14日</v>
      </c>
      <c r="I3909" s="39">
        <f t="shared" si="125"/>
        <v>34591</v>
      </c>
      <c r="J3909" s="25" t="str">
        <f>"00746085"</f>
        <v>00746085</v>
      </c>
      <c r="K3909" s="25" t="str">
        <f>"３１１　　　　　　　　　　　　　　　　　"</f>
        <v>３１１　　　　　　　　　　　　　　　　　</v>
      </c>
      <c r="L3909" s="25"/>
    </row>
    <row r="3910" spans="1:12" s="40" customFormat="1" ht="18" customHeight="1" x14ac:dyDescent="0.15">
      <c r="A3910" s="25">
        <v>4589</v>
      </c>
      <c r="B3910" s="25" t="s">
        <v>382</v>
      </c>
      <c r="C3910" s="25" t="s">
        <v>384</v>
      </c>
      <c r="D3910" s="25">
        <v>1</v>
      </c>
      <c r="E3910" s="25" t="s">
        <v>4</v>
      </c>
      <c r="F3910" s="38">
        <v>146000</v>
      </c>
      <c r="G3910" s="38" t="s">
        <v>668</v>
      </c>
      <c r="H3910" s="25" t="str">
        <f t="shared" si="124"/>
        <v>平成6年9月14日</v>
      </c>
      <c r="I3910" s="39">
        <f t="shared" si="125"/>
        <v>34591</v>
      </c>
      <c r="J3910" s="25" t="str">
        <f>"00746087"</f>
        <v>00746087</v>
      </c>
      <c r="K3910" s="25" t="str">
        <f>"３１２　　　　　　　　　　　　　　　　　"</f>
        <v>３１２　　　　　　　　　　　　　　　　　</v>
      </c>
      <c r="L3910" s="25"/>
    </row>
    <row r="3911" spans="1:12" s="40" customFormat="1" ht="18" customHeight="1" x14ac:dyDescent="0.15">
      <c r="A3911" s="25">
        <v>4590</v>
      </c>
      <c r="B3911" s="25" t="s">
        <v>382</v>
      </c>
      <c r="C3911" s="25" t="s">
        <v>384</v>
      </c>
      <c r="D3911" s="25">
        <v>1</v>
      </c>
      <c r="E3911" s="25" t="s">
        <v>4</v>
      </c>
      <c r="F3911" s="38">
        <v>146000</v>
      </c>
      <c r="G3911" s="38" t="s">
        <v>668</v>
      </c>
      <c r="H3911" s="25" t="str">
        <f t="shared" si="124"/>
        <v>平成6年9月14日</v>
      </c>
      <c r="I3911" s="39">
        <f t="shared" si="125"/>
        <v>34591</v>
      </c>
      <c r="J3911" s="25" t="str">
        <f>"00746089"</f>
        <v>00746089</v>
      </c>
      <c r="K3911" s="25" t="str">
        <f>"３１３　　　　　　　　　　　　　　　　　"</f>
        <v>３１３　　　　　　　　　　　　　　　　　</v>
      </c>
      <c r="L3911" s="25"/>
    </row>
    <row r="3912" spans="1:12" s="40" customFormat="1" ht="18" customHeight="1" x14ac:dyDescent="0.15">
      <c r="A3912" s="25">
        <v>4591</v>
      </c>
      <c r="B3912" s="25" t="s">
        <v>382</v>
      </c>
      <c r="C3912" s="25" t="s">
        <v>384</v>
      </c>
      <c r="D3912" s="25">
        <v>1</v>
      </c>
      <c r="E3912" s="25" t="s">
        <v>4</v>
      </c>
      <c r="F3912" s="38">
        <v>146000</v>
      </c>
      <c r="G3912" s="38" t="s">
        <v>668</v>
      </c>
      <c r="H3912" s="25" t="str">
        <f t="shared" si="124"/>
        <v>平成6年9月14日</v>
      </c>
      <c r="I3912" s="39">
        <f t="shared" si="125"/>
        <v>34591</v>
      </c>
      <c r="J3912" s="25" t="str">
        <f>"00746091"</f>
        <v>00746091</v>
      </c>
      <c r="K3912" s="25" t="str">
        <f>"３１４　　　　　　　　　　　　　　　　　"</f>
        <v>３１４　　　　　　　　　　　　　　　　　</v>
      </c>
      <c r="L3912" s="25"/>
    </row>
    <row r="3913" spans="1:12" s="40" customFormat="1" ht="18" customHeight="1" x14ac:dyDescent="0.15">
      <c r="A3913" s="25">
        <v>4592</v>
      </c>
      <c r="B3913" s="25" t="s">
        <v>382</v>
      </c>
      <c r="C3913" s="25" t="s">
        <v>385</v>
      </c>
      <c r="D3913" s="25">
        <v>1</v>
      </c>
      <c r="E3913" s="25" t="s">
        <v>4</v>
      </c>
      <c r="F3913" s="38">
        <v>89816</v>
      </c>
      <c r="G3913" s="38" t="s">
        <v>668</v>
      </c>
      <c r="H3913" s="25" t="str">
        <f t="shared" si="124"/>
        <v>平成6年9月14日</v>
      </c>
      <c r="I3913" s="39">
        <f t="shared" si="125"/>
        <v>34591</v>
      </c>
      <c r="J3913" s="25" t="str">
        <f>"00746093"</f>
        <v>00746093</v>
      </c>
      <c r="K3913" s="25" t="str">
        <f>"３１５　　　　　　　　　　　　　　　　　"</f>
        <v>３１５　　　　　　　　　　　　　　　　　</v>
      </c>
      <c r="L3913" s="25"/>
    </row>
    <row r="3914" spans="1:12" s="40" customFormat="1" ht="18" customHeight="1" x14ac:dyDescent="0.15">
      <c r="A3914" s="25">
        <v>4593</v>
      </c>
      <c r="B3914" s="25" t="s">
        <v>382</v>
      </c>
      <c r="C3914" s="25" t="s">
        <v>385</v>
      </c>
      <c r="D3914" s="25">
        <v>1</v>
      </c>
      <c r="E3914" s="25" t="s">
        <v>4</v>
      </c>
      <c r="F3914" s="38">
        <v>89816</v>
      </c>
      <c r="G3914" s="38" t="s">
        <v>668</v>
      </c>
      <c r="H3914" s="25" t="str">
        <f t="shared" si="124"/>
        <v>平成6年9月14日</v>
      </c>
      <c r="I3914" s="39">
        <f t="shared" si="125"/>
        <v>34591</v>
      </c>
      <c r="J3914" s="25" t="str">
        <f>"00746095"</f>
        <v>00746095</v>
      </c>
      <c r="K3914" s="25" t="str">
        <f>"３１６　　　　　　　　　　　　　　　　　"</f>
        <v>３１６　　　　　　　　　　　　　　　　　</v>
      </c>
      <c r="L3914" s="25"/>
    </row>
    <row r="3915" spans="1:12" s="40" customFormat="1" ht="18" customHeight="1" x14ac:dyDescent="0.15">
      <c r="A3915" s="25">
        <v>4594</v>
      </c>
      <c r="B3915" s="25" t="s">
        <v>382</v>
      </c>
      <c r="C3915" s="25" t="s">
        <v>386</v>
      </c>
      <c r="D3915" s="25">
        <v>1</v>
      </c>
      <c r="E3915" s="25" t="s">
        <v>4</v>
      </c>
      <c r="F3915" s="38">
        <v>54538</v>
      </c>
      <c r="G3915" s="38" t="s">
        <v>668</v>
      </c>
      <c r="H3915" s="25" t="str">
        <f t="shared" si="124"/>
        <v>平成6年9月14日</v>
      </c>
      <c r="I3915" s="39">
        <f t="shared" si="125"/>
        <v>34591</v>
      </c>
      <c r="J3915" s="25" t="str">
        <f>"00746097"</f>
        <v>00746097</v>
      </c>
      <c r="K3915" s="25" t="str">
        <f>"３１７　　　　　　　　　　　　　　　　　"</f>
        <v>３１７　　　　　　　　　　　　　　　　　</v>
      </c>
      <c r="L3915" s="25"/>
    </row>
    <row r="3916" spans="1:12" s="40" customFormat="1" ht="18" customHeight="1" x14ac:dyDescent="0.15">
      <c r="A3916" s="25">
        <v>4595</v>
      </c>
      <c r="B3916" s="25" t="s">
        <v>382</v>
      </c>
      <c r="C3916" s="25" t="s">
        <v>386</v>
      </c>
      <c r="D3916" s="25">
        <v>1</v>
      </c>
      <c r="E3916" s="25" t="s">
        <v>4</v>
      </c>
      <c r="F3916" s="38">
        <v>54538</v>
      </c>
      <c r="G3916" s="38" t="s">
        <v>668</v>
      </c>
      <c r="H3916" s="25" t="str">
        <f t="shared" si="124"/>
        <v>平成6年9月14日</v>
      </c>
      <c r="I3916" s="39">
        <f t="shared" si="125"/>
        <v>34591</v>
      </c>
      <c r="J3916" s="25" t="str">
        <f>"00746099"</f>
        <v>00746099</v>
      </c>
      <c r="K3916" s="25" t="str">
        <f>"３１８　　　　　　　　　　　　　　　　　"</f>
        <v>３１８　　　　　　　　　　　　　　　　　</v>
      </c>
      <c r="L3916" s="25"/>
    </row>
    <row r="3917" spans="1:12" s="40" customFormat="1" ht="18" customHeight="1" x14ac:dyDescent="0.15">
      <c r="A3917" s="25">
        <v>4596</v>
      </c>
      <c r="B3917" s="25" t="s">
        <v>382</v>
      </c>
      <c r="C3917" s="25" t="s">
        <v>386</v>
      </c>
      <c r="D3917" s="25">
        <v>1</v>
      </c>
      <c r="E3917" s="25" t="s">
        <v>4</v>
      </c>
      <c r="F3917" s="38">
        <v>54538</v>
      </c>
      <c r="G3917" s="38" t="s">
        <v>668</v>
      </c>
      <c r="H3917" s="25" t="str">
        <f t="shared" si="124"/>
        <v>平成6年9月14日</v>
      </c>
      <c r="I3917" s="39">
        <f t="shared" si="125"/>
        <v>34591</v>
      </c>
      <c r="J3917" s="25" t="str">
        <f>"00746101"</f>
        <v>00746101</v>
      </c>
      <c r="K3917" s="25" t="str">
        <f>"３１９　　　　　　　　　　　　　　　　　"</f>
        <v>３１９　　　　　　　　　　　　　　　　　</v>
      </c>
      <c r="L3917" s="25"/>
    </row>
    <row r="3918" spans="1:12" s="40" customFormat="1" ht="18" customHeight="1" x14ac:dyDescent="0.15">
      <c r="A3918" s="25">
        <v>4597</v>
      </c>
      <c r="B3918" s="25" t="s">
        <v>382</v>
      </c>
      <c r="C3918" s="25" t="s">
        <v>386</v>
      </c>
      <c r="D3918" s="25">
        <v>1</v>
      </c>
      <c r="E3918" s="25" t="s">
        <v>4</v>
      </c>
      <c r="F3918" s="38">
        <v>54538</v>
      </c>
      <c r="G3918" s="38" t="s">
        <v>668</v>
      </c>
      <c r="H3918" s="25" t="str">
        <f t="shared" si="124"/>
        <v>平成6年9月14日</v>
      </c>
      <c r="I3918" s="39">
        <f t="shared" si="125"/>
        <v>34591</v>
      </c>
      <c r="J3918" s="25" t="str">
        <f>"00746103"</f>
        <v>00746103</v>
      </c>
      <c r="K3918" s="25" t="str">
        <f>"３２０　　　　　　　　　　　　　　　　　"</f>
        <v>３２０　　　　　　　　　　　　　　　　　</v>
      </c>
      <c r="L3918" s="25"/>
    </row>
    <row r="3919" spans="1:12" s="40" customFormat="1" ht="18" customHeight="1" x14ac:dyDescent="0.15">
      <c r="A3919" s="25">
        <v>4598</v>
      </c>
      <c r="B3919" s="25" t="s">
        <v>382</v>
      </c>
      <c r="C3919" s="25" t="s">
        <v>387</v>
      </c>
      <c r="D3919" s="25">
        <v>1</v>
      </c>
      <c r="E3919" s="25" t="s">
        <v>4</v>
      </c>
      <c r="F3919" s="38">
        <v>47380</v>
      </c>
      <c r="G3919" s="38" t="s">
        <v>668</v>
      </c>
      <c r="H3919" s="25" t="str">
        <f t="shared" ref="H3919:H3982" si="126">"平成6年9月14日"</f>
        <v>平成6年9月14日</v>
      </c>
      <c r="I3919" s="39">
        <f t="shared" si="125"/>
        <v>34591</v>
      </c>
      <c r="J3919" s="25" t="str">
        <f>"00746105"</f>
        <v>00746105</v>
      </c>
      <c r="K3919" s="25" t="str">
        <f>"３２１　　　　　　　　　　　　　　　　　"</f>
        <v>３２１　　　　　　　　　　　　　　　　　</v>
      </c>
      <c r="L3919" s="25"/>
    </row>
    <row r="3920" spans="1:12" s="40" customFormat="1" ht="18" customHeight="1" x14ac:dyDescent="0.15">
      <c r="A3920" s="25">
        <v>4599</v>
      </c>
      <c r="B3920" s="25" t="s">
        <v>382</v>
      </c>
      <c r="C3920" s="25" t="s">
        <v>387</v>
      </c>
      <c r="D3920" s="25">
        <v>1</v>
      </c>
      <c r="E3920" s="25" t="s">
        <v>4</v>
      </c>
      <c r="F3920" s="38">
        <v>47380</v>
      </c>
      <c r="G3920" s="38" t="s">
        <v>668</v>
      </c>
      <c r="H3920" s="25" t="str">
        <f t="shared" si="126"/>
        <v>平成6年9月14日</v>
      </c>
      <c r="I3920" s="39">
        <f t="shared" si="125"/>
        <v>34591</v>
      </c>
      <c r="J3920" s="25" t="str">
        <f>"00746107"</f>
        <v>00746107</v>
      </c>
      <c r="K3920" s="25" t="str">
        <f>"３２２　　　　　　　　　　　　　　　　　"</f>
        <v>３２２　　　　　　　　　　　　　　　　　</v>
      </c>
      <c r="L3920" s="25"/>
    </row>
    <row r="3921" spans="1:12" s="40" customFormat="1" ht="18" customHeight="1" x14ac:dyDescent="0.15">
      <c r="A3921" s="25">
        <v>4600</v>
      </c>
      <c r="B3921" s="25" t="s">
        <v>382</v>
      </c>
      <c r="C3921" s="25" t="s">
        <v>388</v>
      </c>
      <c r="D3921" s="25">
        <v>1</v>
      </c>
      <c r="E3921" s="25" t="s">
        <v>4</v>
      </c>
      <c r="F3921" s="38">
        <v>43260</v>
      </c>
      <c r="G3921" s="38" t="s">
        <v>668</v>
      </c>
      <c r="H3921" s="25" t="str">
        <f t="shared" si="126"/>
        <v>平成6年9月14日</v>
      </c>
      <c r="I3921" s="39">
        <f t="shared" si="125"/>
        <v>34591</v>
      </c>
      <c r="J3921" s="25" t="str">
        <f>"00746109"</f>
        <v>00746109</v>
      </c>
      <c r="K3921" s="25" t="str">
        <f>"３２３　　　　　　　　　　　　　　　　　"</f>
        <v>３２３　　　　　　　　　　　　　　　　　</v>
      </c>
      <c r="L3921" s="25"/>
    </row>
    <row r="3922" spans="1:12" s="40" customFormat="1" ht="18" customHeight="1" x14ac:dyDescent="0.15">
      <c r="A3922" s="25">
        <v>4601</v>
      </c>
      <c r="B3922" s="25" t="s">
        <v>382</v>
      </c>
      <c r="C3922" s="25" t="s">
        <v>388</v>
      </c>
      <c r="D3922" s="25">
        <v>1</v>
      </c>
      <c r="E3922" s="25" t="s">
        <v>4</v>
      </c>
      <c r="F3922" s="38">
        <v>43260</v>
      </c>
      <c r="G3922" s="38" t="s">
        <v>668</v>
      </c>
      <c r="H3922" s="25" t="str">
        <f t="shared" si="126"/>
        <v>平成6年9月14日</v>
      </c>
      <c r="I3922" s="39">
        <f t="shared" ref="I3922:I3985" si="127">DATEVALUE(H3922)</f>
        <v>34591</v>
      </c>
      <c r="J3922" s="25" t="str">
        <f>"00746111"</f>
        <v>00746111</v>
      </c>
      <c r="K3922" s="25" t="str">
        <f>"３２４　　　　　　　　　　　　　　　　　"</f>
        <v>３２４　　　　　　　　　　　　　　　　　</v>
      </c>
      <c r="L3922" s="25"/>
    </row>
    <row r="3923" spans="1:12" s="40" customFormat="1" ht="18" customHeight="1" x14ac:dyDescent="0.15">
      <c r="A3923" s="25">
        <v>4602</v>
      </c>
      <c r="B3923" s="25" t="s">
        <v>382</v>
      </c>
      <c r="C3923" s="25" t="s">
        <v>388</v>
      </c>
      <c r="D3923" s="25">
        <v>1</v>
      </c>
      <c r="E3923" s="25" t="s">
        <v>4</v>
      </c>
      <c r="F3923" s="38">
        <v>43260</v>
      </c>
      <c r="G3923" s="38" t="s">
        <v>668</v>
      </c>
      <c r="H3923" s="25" t="str">
        <f t="shared" si="126"/>
        <v>平成6年9月14日</v>
      </c>
      <c r="I3923" s="39">
        <f t="shared" si="127"/>
        <v>34591</v>
      </c>
      <c r="J3923" s="25" t="str">
        <f>"00746113"</f>
        <v>00746113</v>
      </c>
      <c r="K3923" s="25" t="str">
        <f>"３２５　　　　　　　　　　　　　　　　　"</f>
        <v>３２５　　　　　　　　　　　　　　　　　</v>
      </c>
      <c r="L3923" s="25"/>
    </row>
    <row r="3924" spans="1:12" s="40" customFormat="1" ht="18" customHeight="1" x14ac:dyDescent="0.15">
      <c r="A3924" s="25">
        <v>4603</v>
      </c>
      <c r="B3924" s="25" t="s">
        <v>382</v>
      </c>
      <c r="C3924" s="25" t="s">
        <v>388</v>
      </c>
      <c r="D3924" s="25">
        <v>1</v>
      </c>
      <c r="E3924" s="25" t="s">
        <v>4</v>
      </c>
      <c r="F3924" s="38">
        <v>43260</v>
      </c>
      <c r="G3924" s="38" t="s">
        <v>668</v>
      </c>
      <c r="H3924" s="25" t="str">
        <f t="shared" si="126"/>
        <v>平成6年9月14日</v>
      </c>
      <c r="I3924" s="39">
        <f t="shared" si="127"/>
        <v>34591</v>
      </c>
      <c r="J3924" s="25" t="str">
        <f>"00746115"</f>
        <v>00746115</v>
      </c>
      <c r="K3924" s="25" t="str">
        <f>"３２６　　　　　　　　　　　　　　　　　"</f>
        <v>３２６　　　　　　　　　　　　　　　　　</v>
      </c>
      <c r="L3924" s="25"/>
    </row>
    <row r="3925" spans="1:12" s="40" customFormat="1" ht="18" customHeight="1" x14ac:dyDescent="0.15">
      <c r="A3925" s="25">
        <v>4604</v>
      </c>
      <c r="B3925" s="25" t="s">
        <v>382</v>
      </c>
      <c r="C3925" s="25" t="s">
        <v>388</v>
      </c>
      <c r="D3925" s="25">
        <v>1</v>
      </c>
      <c r="E3925" s="25" t="s">
        <v>4</v>
      </c>
      <c r="F3925" s="38">
        <v>43260</v>
      </c>
      <c r="G3925" s="38" t="s">
        <v>668</v>
      </c>
      <c r="H3925" s="25" t="str">
        <f t="shared" si="126"/>
        <v>平成6年9月14日</v>
      </c>
      <c r="I3925" s="39">
        <f t="shared" si="127"/>
        <v>34591</v>
      </c>
      <c r="J3925" s="25" t="str">
        <f>"00746117"</f>
        <v>00746117</v>
      </c>
      <c r="K3925" s="25" t="str">
        <f>"３２７　　　　　　　　　　　　　　　　　"</f>
        <v>３２７　　　　　　　　　　　　　　　　　</v>
      </c>
      <c r="L3925" s="25"/>
    </row>
    <row r="3926" spans="1:12" s="40" customFormat="1" ht="18" customHeight="1" x14ac:dyDescent="0.15">
      <c r="A3926" s="25">
        <v>4605</v>
      </c>
      <c r="B3926" s="25" t="s">
        <v>382</v>
      </c>
      <c r="C3926" s="25" t="s">
        <v>388</v>
      </c>
      <c r="D3926" s="25">
        <v>1</v>
      </c>
      <c r="E3926" s="25" t="s">
        <v>4</v>
      </c>
      <c r="F3926" s="38">
        <v>43260</v>
      </c>
      <c r="G3926" s="38" t="s">
        <v>668</v>
      </c>
      <c r="H3926" s="25" t="str">
        <f t="shared" si="126"/>
        <v>平成6年9月14日</v>
      </c>
      <c r="I3926" s="39">
        <f t="shared" si="127"/>
        <v>34591</v>
      </c>
      <c r="J3926" s="25" t="str">
        <f>"00746119"</f>
        <v>00746119</v>
      </c>
      <c r="K3926" s="25" t="str">
        <f>"３２８　　　　　　　　　　　　　　　　　"</f>
        <v>３２８　　　　　　　　　　　　　　　　　</v>
      </c>
      <c r="L3926" s="25"/>
    </row>
    <row r="3927" spans="1:12" s="40" customFormat="1" ht="18" customHeight="1" x14ac:dyDescent="0.15">
      <c r="A3927" s="25">
        <v>4606</v>
      </c>
      <c r="B3927" s="25" t="s">
        <v>382</v>
      </c>
      <c r="C3927" s="25" t="s">
        <v>388</v>
      </c>
      <c r="D3927" s="25">
        <v>1</v>
      </c>
      <c r="E3927" s="25" t="s">
        <v>4</v>
      </c>
      <c r="F3927" s="38">
        <v>43260</v>
      </c>
      <c r="G3927" s="38" t="s">
        <v>668</v>
      </c>
      <c r="H3927" s="25" t="str">
        <f t="shared" si="126"/>
        <v>平成6年9月14日</v>
      </c>
      <c r="I3927" s="39">
        <f t="shared" si="127"/>
        <v>34591</v>
      </c>
      <c r="J3927" s="25" t="str">
        <f>"00746121"</f>
        <v>00746121</v>
      </c>
      <c r="K3927" s="25" t="str">
        <f>"３２９　　　　　　　　　　　　　　　　　"</f>
        <v>３２９　　　　　　　　　　　　　　　　　</v>
      </c>
      <c r="L3927" s="25"/>
    </row>
    <row r="3928" spans="1:12" s="40" customFormat="1" ht="18" customHeight="1" x14ac:dyDescent="0.15">
      <c r="A3928" s="25">
        <v>4607</v>
      </c>
      <c r="B3928" s="25" t="s">
        <v>382</v>
      </c>
      <c r="C3928" s="25" t="s">
        <v>388</v>
      </c>
      <c r="D3928" s="25">
        <v>1</v>
      </c>
      <c r="E3928" s="25" t="s">
        <v>4</v>
      </c>
      <c r="F3928" s="38">
        <v>43260</v>
      </c>
      <c r="G3928" s="38" t="s">
        <v>668</v>
      </c>
      <c r="H3928" s="25" t="str">
        <f t="shared" si="126"/>
        <v>平成6年9月14日</v>
      </c>
      <c r="I3928" s="39">
        <f t="shared" si="127"/>
        <v>34591</v>
      </c>
      <c r="J3928" s="25" t="str">
        <f>"00746123"</f>
        <v>00746123</v>
      </c>
      <c r="K3928" s="25" t="str">
        <f>"３３０　　　　　　　　　　　　　　　　　"</f>
        <v>３３０　　　　　　　　　　　　　　　　　</v>
      </c>
      <c r="L3928" s="25"/>
    </row>
    <row r="3929" spans="1:12" s="40" customFormat="1" ht="18" customHeight="1" x14ac:dyDescent="0.15">
      <c r="A3929" s="25">
        <v>4608</v>
      </c>
      <c r="B3929" s="25" t="s">
        <v>382</v>
      </c>
      <c r="C3929" s="25" t="s">
        <v>388</v>
      </c>
      <c r="D3929" s="25">
        <v>1</v>
      </c>
      <c r="E3929" s="25" t="s">
        <v>4</v>
      </c>
      <c r="F3929" s="38">
        <v>43260</v>
      </c>
      <c r="G3929" s="38" t="s">
        <v>668</v>
      </c>
      <c r="H3929" s="25" t="str">
        <f t="shared" si="126"/>
        <v>平成6年9月14日</v>
      </c>
      <c r="I3929" s="39">
        <f t="shared" si="127"/>
        <v>34591</v>
      </c>
      <c r="J3929" s="25" t="str">
        <f>"00746125"</f>
        <v>00746125</v>
      </c>
      <c r="K3929" s="25" t="str">
        <f>"３３１　　　　　　　　　　　　　　　　　"</f>
        <v>３３１　　　　　　　　　　　　　　　　　</v>
      </c>
      <c r="L3929" s="25"/>
    </row>
    <row r="3930" spans="1:12" ht="18" customHeight="1" x14ac:dyDescent="0.15">
      <c r="A3930" s="25">
        <v>4612</v>
      </c>
      <c r="B3930" s="25" t="s">
        <v>59</v>
      </c>
      <c r="C3930" s="25" t="s">
        <v>392</v>
      </c>
      <c r="D3930" s="25">
        <v>1</v>
      </c>
      <c r="E3930" s="25" t="s">
        <v>21</v>
      </c>
      <c r="F3930" s="38">
        <v>205000</v>
      </c>
      <c r="G3930" s="38" t="s">
        <v>667</v>
      </c>
      <c r="H3930" s="25" t="str">
        <f t="shared" si="126"/>
        <v>平成6年9月14日</v>
      </c>
      <c r="I3930" s="22">
        <f t="shared" si="127"/>
        <v>34591</v>
      </c>
      <c r="J3930" s="1" t="str">
        <f>"00746135"</f>
        <v>00746135</v>
      </c>
      <c r="K3930" s="1" t="str">
        <f>"３１３　　　　　　　　　　　　　　　　　"</f>
        <v>３１３　　　　　　　　　　　　　　　　　</v>
      </c>
      <c r="L3930" s="1"/>
    </row>
    <row r="3931" spans="1:12" ht="18" customHeight="1" x14ac:dyDescent="0.15">
      <c r="A3931" s="25">
        <v>4613</v>
      </c>
      <c r="B3931" s="25" t="s">
        <v>59</v>
      </c>
      <c r="C3931" s="25" t="s">
        <v>392</v>
      </c>
      <c r="D3931" s="25">
        <v>1</v>
      </c>
      <c r="E3931" s="25" t="s">
        <v>21</v>
      </c>
      <c r="F3931" s="38">
        <v>205000</v>
      </c>
      <c r="G3931" s="38" t="s">
        <v>667</v>
      </c>
      <c r="H3931" s="25" t="str">
        <f t="shared" si="126"/>
        <v>平成6年9月14日</v>
      </c>
      <c r="I3931" s="22">
        <f t="shared" si="127"/>
        <v>34591</v>
      </c>
      <c r="J3931" s="1" t="str">
        <f>"00746137"</f>
        <v>00746137</v>
      </c>
      <c r="K3931" s="1" t="str">
        <f>"３１５　　　　　　　　　　　　　　　　　"</f>
        <v>３１５　　　　　　　　　　　　　　　　　</v>
      </c>
      <c r="L3931" s="1"/>
    </row>
    <row r="3932" spans="1:12" ht="18" customHeight="1" x14ac:dyDescent="0.15">
      <c r="A3932" s="25">
        <v>4614</v>
      </c>
      <c r="B3932" s="25" t="s">
        <v>59</v>
      </c>
      <c r="C3932" s="25" t="s">
        <v>392</v>
      </c>
      <c r="D3932" s="25">
        <v>1</v>
      </c>
      <c r="E3932" s="25" t="s">
        <v>21</v>
      </c>
      <c r="F3932" s="38">
        <v>205000</v>
      </c>
      <c r="G3932" s="38" t="s">
        <v>667</v>
      </c>
      <c r="H3932" s="25" t="str">
        <f t="shared" si="126"/>
        <v>平成6年9月14日</v>
      </c>
      <c r="I3932" s="22">
        <f t="shared" si="127"/>
        <v>34591</v>
      </c>
      <c r="J3932" s="1" t="str">
        <f>"00746139"</f>
        <v>00746139</v>
      </c>
      <c r="K3932" s="1" t="str">
        <f>"３１７　　　　　　　　　　　　　　　　　"</f>
        <v>３１７　　　　　　　　　　　　　　　　　</v>
      </c>
      <c r="L3932" s="1"/>
    </row>
    <row r="3933" spans="1:12" ht="18" customHeight="1" x14ac:dyDescent="0.15">
      <c r="A3933" s="25">
        <v>4615</v>
      </c>
      <c r="B3933" s="25" t="s">
        <v>59</v>
      </c>
      <c r="C3933" s="25" t="s">
        <v>392</v>
      </c>
      <c r="D3933" s="25">
        <v>1</v>
      </c>
      <c r="E3933" s="25" t="s">
        <v>21</v>
      </c>
      <c r="F3933" s="38">
        <v>205000</v>
      </c>
      <c r="G3933" s="38" t="s">
        <v>667</v>
      </c>
      <c r="H3933" s="25" t="str">
        <f t="shared" si="126"/>
        <v>平成6年9月14日</v>
      </c>
      <c r="I3933" s="22">
        <f t="shared" si="127"/>
        <v>34591</v>
      </c>
      <c r="J3933" s="1" t="str">
        <f>"00746141"</f>
        <v>00746141</v>
      </c>
      <c r="K3933" s="1" t="str">
        <f>"３１８　　　　　　　　　　　　　　　　　"</f>
        <v>３１８　　　　　　　　　　　　　　　　　</v>
      </c>
      <c r="L3933" s="1"/>
    </row>
    <row r="3934" spans="1:12" ht="18" customHeight="1" x14ac:dyDescent="0.15">
      <c r="A3934" s="25">
        <v>4616</v>
      </c>
      <c r="B3934" s="25" t="s">
        <v>59</v>
      </c>
      <c r="C3934" s="25" t="s">
        <v>392</v>
      </c>
      <c r="D3934" s="25">
        <v>1</v>
      </c>
      <c r="E3934" s="25" t="s">
        <v>21</v>
      </c>
      <c r="F3934" s="38">
        <v>205000</v>
      </c>
      <c r="G3934" s="38" t="s">
        <v>667</v>
      </c>
      <c r="H3934" s="25" t="str">
        <f t="shared" si="126"/>
        <v>平成6年9月14日</v>
      </c>
      <c r="I3934" s="22">
        <f t="shared" si="127"/>
        <v>34591</v>
      </c>
      <c r="J3934" s="1" t="str">
        <f>"00746143"</f>
        <v>00746143</v>
      </c>
      <c r="K3934" s="1" t="str">
        <f>"３１９　　　　　　　　　　　　　　　　　"</f>
        <v>３１９　　　　　　　　　　　　　　　　　</v>
      </c>
      <c r="L3934" s="1"/>
    </row>
    <row r="3935" spans="1:12" ht="18" customHeight="1" x14ac:dyDescent="0.15">
      <c r="A3935" s="25">
        <v>4617</v>
      </c>
      <c r="B3935" s="25" t="s">
        <v>59</v>
      </c>
      <c r="C3935" s="25" t="s">
        <v>392</v>
      </c>
      <c r="D3935" s="25">
        <v>1</v>
      </c>
      <c r="E3935" s="25" t="s">
        <v>21</v>
      </c>
      <c r="F3935" s="38">
        <v>205000</v>
      </c>
      <c r="G3935" s="38" t="s">
        <v>667</v>
      </c>
      <c r="H3935" s="25" t="str">
        <f t="shared" si="126"/>
        <v>平成6年9月14日</v>
      </c>
      <c r="I3935" s="22">
        <f t="shared" si="127"/>
        <v>34591</v>
      </c>
      <c r="J3935" s="1" t="str">
        <f>"00746145"</f>
        <v>00746145</v>
      </c>
      <c r="K3935" s="1" t="str">
        <f>"３２０　　　　　　　　　　　　　　　　　"</f>
        <v>３２０　　　　　　　　　　　　　　　　　</v>
      </c>
      <c r="L3935" s="1"/>
    </row>
    <row r="3936" spans="1:12" ht="18" customHeight="1" x14ac:dyDescent="0.15">
      <c r="A3936" s="25">
        <v>4618</v>
      </c>
      <c r="B3936" s="25" t="s">
        <v>59</v>
      </c>
      <c r="C3936" s="25" t="s">
        <v>392</v>
      </c>
      <c r="D3936" s="25">
        <v>1</v>
      </c>
      <c r="E3936" s="25" t="s">
        <v>21</v>
      </c>
      <c r="F3936" s="38">
        <v>205000</v>
      </c>
      <c r="G3936" s="38" t="s">
        <v>667</v>
      </c>
      <c r="H3936" s="25" t="str">
        <f t="shared" si="126"/>
        <v>平成6年9月14日</v>
      </c>
      <c r="I3936" s="22">
        <f t="shared" si="127"/>
        <v>34591</v>
      </c>
      <c r="J3936" s="1" t="str">
        <f>"00746147"</f>
        <v>00746147</v>
      </c>
      <c r="K3936" s="1" t="str">
        <f>"３２１　　　　　　　　　　　　　　　　　"</f>
        <v>３２１　　　　　　　　　　　　　　　　　</v>
      </c>
      <c r="L3936" s="1"/>
    </row>
    <row r="3937" spans="1:12" ht="18" customHeight="1" x14ac:dyDescent="0.15">
      <c r="A3937" s="25">
        <v>4619</v>
      </c>
      <c r="B3937" s="25" t="s">
        <v>59</v>
      </c>
      <c r="C3937" s="25" t="s">
        <v>392</v>
      </c>
      <c r="D3937" s="25">
        <v>1</v>
      </c>
      <c r="E3937" s="25" t="s">
        <v>21</v>
      </c>
      <c r="F3937" s="38">
        <v>205000</v>
      </c>
      <c r="G3937" s="38" t="s">
        <v>667</v>
      </c>
      <c r="H3937" s="25" t="str">
        <f t="shared" si="126"/>
        <v>平成6年9月14日</v>
      </c>
      <c r="I3937" s="22">
        <f t="shared" si="127"/>
        <v>34591</v>
      </c>
      <c r="J3937" s="1" t="str">
        <f>"00746149"</f>
        <v>00746149</v>
      </c>
      <c r="K3937" s="1" t="str">
        <f>"３２２　　　　　　　　　　　　　　　　　"</f>
        <v>３２２　　　　　　　　　　　　　　　　　</v>
      </c>
      <c r="L3937" s="1"/>
    </row>
    <row r="3938" spans="1:12" ht="18" customHeight="1" x14ac:dyDescent="0.15">
      <c r="A3938" s="25">
        <v>4620</v>
      </c>
      <c r="B3938" s="25" t="s">
        <v>59</v>
      </c>
      <c r="C3938" s="25" t="s">
        <v>392</v>
      </c>
      <c r="D3938" s="25">
        <v>1</v>
      </c>
      <c r="E3938" s="25" t="s">
        <v>21</v>
      </c>
      <c r="F3938" s="38">
        <v>205000</v>
      </c>
      <c r="G3938" s="38" t="s">
        <v>667</v>
      </c>
      <c r="H3938" s="25" t="str">
        <f t="shared" si="126"/>
        <v>平成6年9月14日</v>
      </c>
      <c r="I3938" s="22">
        <f t="shared" si="127"/>
        <v>34591</v>
      </c>
      <c r="J3938" s="1" t="str">
        <f>"00746151"</f>
        <v>00746151</v>
      </c>
      <c r="K3938" s="1" t="str">
        <f>"３２３　　　　　　　　　　　　　　　　　"</f>
        <v>３２３　　　　　　　　　　　　　　　　　</v>
      </c>
      <c r="L3938" s="1"/>
    </row>
    <row r="3939" spans="1:12" ht="18" customHeight="1" x14ac:dyDescent="0.15">
      <c r="A3939" s="25">
        <v>4621</v>
      </c>
      <c r="B3939" s="25" t="s">
        <v>59</v>
      </c>
      <c r="C3939" s="25" t="s">
        <v>392</v>
      </c>
      <c r="D3939" s="25">
        <v>1</v>
      </c>
      <c r="E3939" s="25" t="s">
        <v>21</v>
      </c>
      <c r="F3939" s="38">
        <v>205000</v>
      </c>
      <c r="G3939" s="38" t="s">
        <v>667</v>
      </c>
      <c r="H3939" s="25" t="str">
        <f t="shared" si="126"/>
        <v>平成6年9月14日</v>
      </c>
      <c r="I3939" s="22">
        <f t="shared" si="127"/>
        <v>34591</v>
      </c>
      <c r="J3939" s="1" t="str">
        <f>"00746153"</f>
        <v>00746153</v>
      </c>
      <c r="K3939" s="1" t="str">
        <f>"３２４　　　　　　　　　　　　　　　　　"</f>
        <v>３２４　　　　　　　　　　　　　　　　　</v>
      </c>
      <c r="L3939" s="1"/>
    </row>
    <row r="3940" spans="1:12" ht="18" customHeight="1" x14ac:dyDescent="0.15">
      <c r="A3940" s="25">
        <v>4622</v>
      </c>
      <c r="B3940" s="25" t="s">
        <v>59</v>
      </c>
      <c r="C3940" s="25" t="s">
        <v>392</v>
      </c>
      <c r="D3940" s="25">
        <v>1</v>
      </c>
      <c r="E3940" s="25" t="s">
        <v>21</v>
      </c>
      <c r="F3940" s="38">
        <v>205000</v>
      </c>
      <c r="G3940" s="38" t="s">
        <v>667</v>
      </c>
      <c r="H3940" s="25" t="str">
        <f t="shared" si="126"/>
        <v>平成6年9月14日</v>
      </c>
      <c r="I3940" s="22">
        <f t="shared" si="127"/>
        <v>34591</v>
      </c>
      <c r="J3940" s="1" t="str">
        <f>"00746155"</f>
        <v>00746155</v>
      </c>
      <c r="K3940" s="1" t="str">
        <f>"３２５　　　　　　　　　　　　　　　　　"</f>
        <v>３２５　　　　　　　　　　　　　　　　　</v>
      </c>
      <c r="L3940" s="1"/>
    </row>
    <row r="3941" spans="1:12" ht="18" customHeight="1" x14ac:dyDescent="0.15">
      <c r="A3941" s="25">
        <v>4623</v>
      </c>
      <c r="B3941" s="25" t="s">
        <v>59</v>
      </c>
      <c r="C3941" s="25" t="s">
        <v>392</v>
      </c>
      <c r="D3941" s="25">
        <v>1</v>
      </c>
      <c r="E3941" s="25" t="s">
        <v>21</v>
      </c>
      <c r="F3941" s="38">
        <v>205000</v>
      </c>
      <c r="G3941" s="38" t="s">
        <v>667</v>
      </c>
      <c r="H3941" s="25" t="str">
        <f t="shared" si="126"/>
        <v>平成6年9月14日</v>
      </c>
      <c r="I3941" s="22">
        <f t="shared" si="127"/>
        <v>34591</v>
      </c>
      <c r="J3941" s="1" t="str">
        <f>"00746157"</f>
        <v>00746157</v>
      </c>
      <c r="K3941" s="1" t="str">
        <f>"３２６　　　　　　　　　　　　　　　　　"</f>
        <v>３２６　　　　　　　　　　　　　　　　　</v>
      </c>
      <c r="L3941" s="1"/>
    </row>
    <row r="3942" spans="1:12" ht="18" customHeight="1" x14ac:dyDescent="0.15">
      <c r="A3942" s="25">
        <v>4624</v>
      </c>
      <c r="B3942" s="25" t="s">
        <v>59</v>
      </c>
      <c r="C3942" s="25" t="s">
        <v>392</v>
      </c>
      <c r="D3942" s="25">
        <v>1</v>
      </c>
      <c r="E3942" s="25" t="s">
        <v>21</v>
      </c>
      <c r="F3942" s="38">
        <v>205000</v>
      </c>
      <c r="G3942" s="38" t="s">
        <v>667</v>
      </c>
      <c r="H3942" s="25" t="str">
        <f t="shared" si="126"/>
        <v>平成6年9月14日</v>
      </c>
      <c r="I3942" s="22">
        <f t="shared" si="127"/>
        <v>34591</v>
      </c>
      <c r="J3942" s="1" t="str">
        <f>"00746159"</f>
        <v>00746159</v>
      </c>
      <c r="K3942" s="1" t="str">
        <f>"３２７　　　　　　　　　　　　　　　　　"</f>
        <v>３２７　　　　　　　　　　　　　　　　　</v>
      </c>
      <c r="L3942" s="1"/>
    </row>
    <row r="3943" spans="1:12" ht="18" customHeight="1" x14ac:dyDescent="0.15">
      <c r="A3943" s="25">
        <v>4625</v>
      </c>
      <c r="B3943" s="25" t="s">
        <v>59</v>
      </c>
      <c r="C3943" s="25" t="s">
        <v>392</v>
      </c>
      <c r="D3943" s="25">
        <v>1</v>
      </c>
      <c r="E3943" s="25" t="s">
        <v>21</v>
      </c>
      <c r="F3943" s="38">
        <v>205000</v>
      </c>
      <c r="G3943" s="38" t="s">
        <v>667</v>
      </c>
      <c r="H3943" s="25" t="str">
        <f t="shared" si="126"/>
        <v>平成6年9月14日</v>
      </c>
      <c r="I3943" s="22">
        <f t="shared" si="127"/>
        <v>34591</v>
      </c>
      <c r="J3943" s="1" t="str">
        <f>"00746161"</f>
        <v>00746161</v>
      </c>
      <c r="K3943" s="1" t="str">
        <f>"３２８　　　　　　　　　　　　　　　　　"</f>
        <v>３２８　　　　　　　　　　　　　　　　　</v>
      </c>
      <c r="L3943" s="1"/>
    </row>
    <row r="3944" spans="1:12" ht="18" customHeight="1" x14ac:dyDescent="0.15">
      <c r="A3944" s="25">
        <v>4626</v>
      </c>
      <c r="B3944" s="25" t="s">
        <v>59</v>
      </c>
      <c r="C3944" s="25" t="s">
        <v>392</v>
      </c>
      <c r="D3944" s="25">
        <v>1</v>
      </c>
      <c r="E3944" s="25" t="s">
        <v>21</v>
      </c>
      <c r="F3944" s="38">
        <v>205000</v>
      </c>
      <c r="G3944" s="38" t="s">
        <v>667</v>
      </c>
      <c r="H3944" s="25" t="str">
        <f t="shared" si="126"/>
        <v>平成6年9月14日</v>
      </c>
      <c r="I3944" s="22">
        <f t="shared" si="127"/>
        <v>34591</v>
      </c>
      <c r="J3944" s="1" t="str">
        <f>"00746163"</f>
        <v>00746163</v>
      </c>
      <c r="K3944" s="1" t="str">
        <f>"３２９　　　　　　　　　　　　　　　　　"</f>
        <v>３２９　　　　　　　　　　　　　　　　　</v>
      </c>
      <c r="L3944" s="1"/>
    </row>
    <row r="3945" spans="1:12" ht="18" customHeight="1" x14ac:dyDescent="0.15">
      <c r="A3945" s="25">
        <v>4627</v>
      </c>
      <c r="B3945" s="25" t="s">
        <v>59</v>
      </c>
      <c r="C3945" s="25" t="s">
        <v>392</v>
      </c>
      <c r="D3945" s="25">
        <v>1</v>
      </c>
      <c r="E3945" s="25" t="s">
        <v>21</v>
      </c>
      <c r="F3945" s="38">
        <v>205000</v>
      </c>
      <c r="G3945" s="38" t="s">
        <v>667</v>
      </c>
      <c r="H3945" s="25" t="str">
        <f t="shared" si="126"/>
        <v>平成6年9月14日</v>
      </c>
      <c r="I3945" s="22">
        <f t="shared" si="127"/>
        <v>34591</v>
      </c>
      <c r="J3945" s="1" t="str">
        <f>"00746165"</f>
        <v>00746165</v>
      </c>
      <c r="K3945" s="1" t="str">
        <f>"３３０　　　　　　　　　　　　　　　　　"</f>
        <v>３３０　　　　　　　　　　　　　　　　　</v>
      </c>
      <c r="L3945" s="1"/>
    </row>
    <row r="3946" spans="1:12" s="40" customFormat="1" ht="18" customHeight="1" x14ac:dyDescent="0.15">
      <c r="A3946" s="25">
        <v>4636</v>
      </c>
      <c r="B3946" s="25" t="s">
        <v>396</v>
      </c>
      <c r="C3946" s="25" t="s">
        <v>399</v>
      </c>
      <c r="D3946" s="25">
        <v>1</v>
      </c>
      <c r="E3946" s="25" t="s">
        <v>4</v>
      </c>
      <c r="F3946" s="38">
        <v>54120</v>
      </c>
      <c r="G3946" s="38" t="s">
        <v>667</v>
      </c>
      <c r="H3946" s="25" t="str">
        <f t="shared" si="126"/>
        <v>平成6年9月14日</v>
      </c>
      <c r="I3946" s="39">
        <f t="shared" si="127"/>
        <v>34591</v>
      </c>
      <c r="J3946" s="25" t="str">
        <f>"00746187"</f>
        <v>00746187</v>
      </c>
      <c r="K3946" s="25" t="str">
        <f>"３０４　　　　　　　　　　　　　　　　　"</f>
        <v>３０４　　　　　　　　　　　　　　　　　</v>
      </c>
      <c r="L3946" s="25"/>
    </row>
    <row r="3947" spans="1:12" s="40" customFormat="1" ht="18" customHeight="1" x14ac:dyDescent="0.15">
      <c r="A3947" s="25">
        <v>4637</v>
      </c>
      <c r="B3947" s="25" t="s">
        <v>60</v>
      </c>
      <c r="C3947" s="25" t="s">
        <v>400</v>
      </c>
      <c r="D3947" s="25">
        <v>1</v>
      </c>
      <c r="E3947" s="25" t="s">
        <v>4</v>
      </c>
      <c r="F3947" s="38">
        <v>64500</v>
      </c>
      <c r="G3947" s="38" t="s">
        <v>667</v>
      </c>
      <c r="H3947" s="25" t="str">
        <f t="shared" si="126"/>
        <v>平成6年9月14日</v>
      </c>
      <c r="I3947" s="39">
        <f t="shared" si="127"/>
        <v>34591</v>
      </c>
      <c r="J3947" s="25" t="str">
        <f>"00746189"</f>
        <v>00746189</v>
      </c>
      <c r="K3947" s="25" t="str">
        <f>"３１６　　　　　　　　　　　　　　　　　"</f>
        <v>３１６　　　　　　　　　　　　　　　　　</v>
      </c>
      <c r="L3947" s="25"/>
    </row>
    <row r="3948" spans="1:12" s="40" customFormat="1" ht="18" customHeight="1" x14ac:dyDescent="0.15">
      <c r="A3948" s="25">
        <v>4638</v>
      </c>
      <c r="B3948" s="25" t="s">
        <v>60</v>
      </c>
      <c r="C3948" s="25" t="s">
        <v>400</v>
      </c>
      <c r="D3948" s="25">
        <v>1</v>
      </c>
      <c r="E3948" s="25" t="s">
        <v>4</v>
      </c>
      <c r="F3948" s="38">
        <v>64500</v>
      </c>
      <c r="G3948" s="38" t="s">
        <v>667</v>
      </c>
      <c r="H3948" s="25" t="str">
        <f t="shared" si="126"/>
        <v>平成6年9月14日</v>
      </c>
      <c r="I3948" s="39">
        <f t="shared" si="127"/>
        <v>34591</v>
      </c>
      <c r="J3948" s="25" t="str">
        <f>"00746191"</f>
        <v>00746191</v>
      </c>
      <c r="K3948" s="25" t="str">
        <f>"３２０　　　　　　　　　　　　　　　　　"</f>
        <v>３２０　　　　　　　　　　　　　　　　　</v>
      </c>
      <c r="L3948" s="25"/>
    </row>
    <row r="3949" spans="1:12" s="40" customFormat="1" ht="18" customHeight="1" x14ac:dyDescent="0.15">
      <c r="A3949" s="25">
        <v>4639</v>
      </c>
      <c r="B3949" s="25" t="s">
        <v>60</v>
      </c>
      <c r="C3949" s="25" t="s">
        <v>400</v>
      </c>
      <c r="D3949" s="25">
        <v>1</v>
      </c>
      <c r="E3949" s="25" t="s">
        <v>4</v>
      </c>
      <c r="F3949" s="38">
        <v>64500</v>
      </c>
      <c r="G3949" s="38" t="s">
        <v>667</v>
      </c>
      <c r="H3949" s="25" t="str">
        <f t="shared" si="126"/>
        <v>平成6年9月14日</v>
      </c>
      <c r="I3949" s="39">
        <f t="shared" si="127"/>
        <v>34591</v>
      </c>
      <c r="J3949" s="25" t="str">
        <f>"00746193"</f>
        <v>00746193</v>
      </c>
      <c r="K3949" s="25" t="str">
        <f>"３２１　　　　　　　　　　　　　　　　　"</f>
        <v>３２１　　　　　　　　　　　　　　　　　</v>
      </c>
      <c r="L3949" s="25"/>
    </row>
    <row r="3950" spans="1:12" s="40" customFormat="1" ht="18" customHeight="1" x14ac:dyDescent="0.15">
      <c r="A3950" s="25">
        <v>4640</v>
      </c>
      <c r="B3950" s="25" t="s">
        <v>60</v>
      </c>
      <c r="C3950" s="25" t="s">
        <v>400</v>
      </c>
      <c r="D3950" s="25">
        <v>1</v>
      </c>
      <c r="E3950" s="25" t="s">
        <v>4</v>
      </c>
      <c r="F3950" s="38">
        <v>64500</v>
      </c>
      <c r="G3950" s="38" t="s">
        <v>667</v>
      </c>
      <c r="H3950" s="25" t="str">
        <f t="shared" si="126"/>
        <v>平成6年9月14日</v>
      </c>
      <c r="I3950" s="39">
        <f t="shared" si="127"/>
        <v>34591</v>
      </c>
      <c r="J3950" s="25" t="str">
        <f>"00746195"</f>
        <v>00746195</v>
      </c>
      <c r="K3950" s="25" t="str">
        <f>"３２２　　　　　　　　　　　　　　　　　"</f>
        <v>３２２　　　　　　　　　　　　　　　　　</v>
      </c>
      <c r="L3950" s="25"/>
    </row>
    <row r="3951" spans="1:12" s="40" customFormat="1" ht="18" customHeight="1" x14ac:dyDescent="0.15">
      <c r="A3951" s="25">
        <v>4641</v>
      </c>
      <c r="B3951" s="25" t="s">
        <v>60</v>
      </c>
      <c r="C3951" s="25" t="s">
        <v>400</v>
      </c>
      <c r="D3951" s="25">
        <v>1</v>
      </c>
      <c r="E3951" s="25" t="s">
        <v>4</v>
      </c>
      <c r="F3951" s="38">
        <v>64500</v>
      </c>
      <c r="G3951" s="38" t="s">
        <v>667</v>
      </c>
      <c r="H3951" s="25" t="str">
        <f t="shared" si="126"/>
        <v>平成6年9月14日</v>
      </c>
      <c r="I3951" s="39">
        <f t="shared" si="127"/>
        <v>34591</v>
      </c>
      <c r="J3951" s="25" t="str">
        <f>"00746197"</f>
        <v>00746197</v>
      </c>
      <c r="K3951" s="25" t="str">
        <f>"３２４　　　　　　　　　　　　　　　　　"</f>
        <v>３２４　　　　　　　　　　　　　　　　　</v>
      </c>
      <c r="L3951" s="25"/>
    </row>
    <row r="3952" spans="1:12" s="40" customFormat="1" ht="18" customHeight="1" x14ac:dyDescent="0.15">
      <c r="A3952" s="25">
        <v>4642</v>
      </c>
      <c r="B3952" s="25" t="s">
        <v>60</v>
      </c>
      <c r="C3952" s="25" t="s">
        <v>400</v>
      </c>
      <c r="D3952" s="25">
        <v>1</v>
      </c>
      <c r="E3952" s="25" t="s">
        <v>4</v>
      </c>
      <c r="F3952" s="38">
        <v>64500</v>
      </c>
      <c r="G3952" s="38" t="s">
        <v>667</v>
      </c>
      <c r="H3952" s="25" t="str">
        <f t="shared" si="126"/>
        <v>平成6年9月14日</v>
      </c>
      <c r="I3952" s="39">
        <f t="shared" si="127"/>
        <v>34591</v>
      </c>
      <c r="J3952" s="25" t="str">
        <f>"00746199"</f>
        <v>00746199</v>
      </c>
      <c r="K3952" s="25" t="str">
        <f>"３２５　　　　　　　　　　　　　　　　　"</f>
        <v>３２５　　　　　　　　　　　　　　　　　</v>
      </c>
      <c r="L3952" s="25"/>
    </row>
    <row r="3953" spans="1:12" s="40" customFormat="1" ht="18" customHeight="1" x14ac:dyDescent="0.15">
      <c r="A3953" s="25">
        <v>4643</v>
      </c>
      <c r="B3953" s="25" t="s">
        <v>60</v>
      </c>
      <c r="C3953" s="25" t="s">
        <v>400</v>
      </c>
      <c r="D3953" s="25">
        <v>1</v>
      </c>
      <c r="E3953" s="25" t="s">
        <v>4</v>
      </c>
      <c r="F3953" s="38">
        <v>64500</v>
      </c>
      <c r="G3953" s="38" t="s">
        <v>667</v>
      </c>
      <c r="H3953" s="25" t="str">
        <f t="shared" si="126"/>
        <v>平成6年9月14日</v>
      </c>
      <c r="I3953" s="39">
        <f t="shared" si="127"/>
        <v>34591</v>
      </c>
      <c r="J3953" s="25" t="str">
        <f>"00746201"</f>
        <v>00746201</v>
      </c>
      <c r="K3953" s="25" t="str">
        <f>"３２７　　　　　　　　　　　　　　　　　"</f>
        <v>３２７　　　　　　　　　　　　　　　　　</v>
      </c>
      <c r="L3953" s="25"/>
    </row>
    <row r="3954" spans="1:12" s="40" customFormat="1" ht="18" customHeight="1" x14ac:dyDescent="0.15">
      <c r="A3954" s="25">
        <v>4644</v>
      </c>
      <c r="B3954" s="25" t="s">
        <v>60</v>
      </c>
      <c r="C3954" s="25" t="s">
        <v>401</v>
      </c>
      <c r="D3954" s="25">
        <v>1</v>
      </c>
      <c r="E3954" s="25" t="s">
        <v>4</v>
      </c>
      <c r="F3954" s="38">
        <v>210944</v>
      </c>
      <c r="G3954" s="38" t="s">
        <v>667</v>
      </c>
      <c r="H3954" s="25" t="str">
        <f t="shared" si="126"/>
        <v>平成6年9月14日</v>
      </c>
      <c r="I3954" s="39">
        <f t="shared" si="127"/>
        <v>34591</v>
      </c>
      <c r="J3954" s="25" t="str">
        <f>"00746205"</f>
        <v>00746205</v>
      </c>
      <c r="K3954" s="25" t="str">
        <f>"３３０　　　　　　　　　　　　　　　　　"</f>
        <v>３３０　　　　　　　　　　　　　　　　　</v>
      </c>
      <c r="L3954" s="25"/>
    </row>
    <row r="3955" spans="1:12" s="40" customFormat="1" ht="18" customHeight="1" x14ac:dyDescent="0.15">
      <c r="A3955" s="25">
        <v>4645</v>
      </c>
      <c r="B3955" s="25" t="s">
        <v>60</v>
      </c>
      <c r="C3955" s="25" t="s">
        <v>401</v>
      </c>
      <c r="D3955" s="25">
        <v>1</v>
      </c>
      <c r="E3955" s="25" t="s">
        <v>4</v>
      </c>
      <c r="F3955" s="38">
        <v>210944</v>
      </c>
      <c r="G3955" s="38" t="s">
        <v>667</v>
      </c>
      <c r="H3955" s="25" t="str">
        <f t="shared" si="126"/>
        <v>平成6年9月14日</v>
      </c>
      <c r="I3955" s="39">
        <f t="shared" si="127"/>
        <v>34591</v>
      </c>
      <c r="J3955" s="25" t="str">
        <f>"00746207"</f>
        <v>00746207</v>
      </c>
      <c r="K3955" s="25" t="str">
        <f>"３３１　　　　　　　　　　　　　　　　　"</f>
        <v>３３１　　　　　　　　　　　　　　　　　</v>
      </c>
      <c r="L3955" s="25"/>
    </row>
    <row r="3956" spans="1:12" s="40" customFormat="1" ht="18" customHeight="1" x14ac:dyDescent="0.15">
      <c r="A3956" s="25">
        <v>4646</v>
      </c>
      <c r="B3956" s="25" t="s">
        <v>60</v>
      </c>
      <c r="C3956" s="25" t="s">
        <v>401</v>
      </c>
      <c r="D3956" s="25">
        <v>1</v>
      </c>
      <c r="E3956" s="25" t="s">
        <v>4</v>
      </c>
      <c r="F3956" s="38">
        <v>210944</v>
      </c>
      <c r="G3956" s="38" t="s">
        <v>667</v>
      </c>
      <c r="H3956" s="25" t="str">
        <f t="shared" si="126"/>
        <v>平成6年9月14日</v>
      </c>
      <c r="I3956" s="39">
        <f t="shared" si="127"/>
        <v>34591</v>
      </c>
      <c r="J3956" s="25" t="str">
        <f>"00746209"</f>
        <v>00746209</v>
      </c>
      <c r="K3956" s="25" t="str">
        <f>"３３２　　　　　　　　　　　　　　　　　"</f>
        <v>３３２　　　　　　　　　　　　　　　　　</v>
      </c>
      <c r="L3956" s="25"/>
    </row>
    <row r="3957" spans="1:12" s="40" customFormat="1" ht="18" customHeight="1" x14ac:dyDescent="0.15">
      <c r="A3957" s="25">
        <v>4647</v>
      </c>
      <c r="B3957" s="25" t="s">
        <v>60</v>
      </c>
      <c r="C3957" s="25" t="s">
        <v>401</v>
      </c>
      <c r="D3957" s="25">
        <v>1</v>
      </c>
      <c r="E3957" s="25" t="s">
        <v>4</v>
      </c>
      <c r="F3957" s="38">
        <v>210944</v>
      </c>
      <c r="G3957" s="38" t="s">
        <v>667</v>
      </c>
      <c r="H3957" s="25" t="str">
        <f t="shared" si="126"/>
        <v>平成6年9月14日</v>
      </c>
      <c r="I3957" s="39">
        <f t="shared" si="127"/>
        <v>34591</v>
      </c>
      <c r="J3957" s="25" t="str">
        <f>"00746211"</f>
        <v>00746211</v>
      </c>
      <c r="K3957" s="25" t="str">
        <f>"３３３　　　　　　　　　　　　　　　　　"</f>
        <v>３３３　　　　　　　　　　　　　　　　　</v>
      </c>
      <c r="L3957" s="25"/>
    </row>
    <row r="3958" spans="1:12" s="40" customFormat="1" ht="18" customHeight="1" x14ac:dyDescent="0.15">
      <c r="A3958" s="25">
        <v>4650</v>
      </c>
      <c r="B3958" s="25" t="s">
        <v>403</v>
      </c>
      <c r="C3958" s="25" t="s">
        <v>404</v>
      </c>
      <c r="D3958" s="25">
        <v>1</v>
      </c>
      <c r="E3958" s="25" t="s">
        <v>9</v>
      </c>
      <c r="F3958" s="38">
        <v>359000</v>
      </c>
      <c r="G3958" s="38" t="s">
        <v>667</v>
      </c>
      <c r="H3958" s="25" t="str">
        <f t="shared" si="126"/>
        <v>平成6年9月14日</v>
      </c>
      <c r="I3958" s="39">
        <f t="shared" si="127"/>
        <v>34591</v>
      </c>
      <c r="J3958" s="25" t="str">
        <f>"00746224"</f>
        <v>00746224</v>
      </c>
      <c r="K3958" s="25" t="str">
        <f>"３０１　　　　　　　　　　　　　　　　　"</f>
        <v>３０１　　　　　　　　　　　　　　　　　</v>
      </c>
      <c r="L3958" s="25"/>
    </row>
    <row r="3959" spans="1:12" s="40" customFormat="1" ht="18" customHeight="1" x14ac:dyDescent="0.15">
      <c r="A3959" s="25">
        <v>4651</v>
      </c>
      <c r="B3959" s="25" t="s">
        <v>403</v>
      </c>
      <c r="C3959" s="25" t="s">
        <v>404</v>
      </c>
      <c r="D3959" s="25">
        <v>1</v>
      </c>
      <c r="E3959" s="25" t="s">
        <v>9</v>
      </c>
      <c r="F3959" s="38">
        <v>359000</v>
      </c>
      <c r="G3959" s="38" t="s">
        <v>667</v>
      </c>
      <c r="H3959" s="25" t="str">
        <f t="shared" si="126"/>
        <v>平成6年9月14日</v>
      </c>
      <c r="I3959" s="39">
        <f t="shared" si="127"/>
        <v>34591</v>
      </c>
      <c r="J3959" s="25" t="str">
        <f>"00746226"</f>
        <v>00746226</v>
      </c>
      <c r="K3959" s="25" t="str">
        <f>"３０２　　　　　　　　　　　　　　　　　"</f>
        <v>３０２　　　　　　　　　　　　　　　　　</v>
      </c>
      <c r="L3959" s="25"/>
    </row>
    <row r="3960" spans="1:12" ht="18" customHeight="1" x14ac:dyDescent="0.15">
      <c r="A3960" s="11">
        <v>4690</v>
      </c>
      <c r="B3960" s="11" t="s">
        <v>78</v>
      </c>
      <c r="C3960" s="11" t="s">
        <v>423</v>
      </c>
      <c r="D3960" s="11">
        <v>1</v>
      </c>
      <c r="E3960" s="11" t="s">
        <v>4</v>
      </c>
      <c r="F3960" s="12">
        <v>96305</v>
      </c>
      <c r="G3960" s="12">
        <v>96305</v>
      </c>
      <c r="H3960" s="11" t="str">
        <f t="shared" si="126"/>
        <v>平成6年9月14日</v>
      </c>
      <c r="I3960" s="22">
        <f t="shared" si="127"/>
        <v>34591</v>
      </c>
      <c r="J3960" s="1" t="str">
        <f>"00746339"</f>
        <v>00746339</v>
      </c>
      <c r="K3960" s="1" t="str">
        <f>"３０１　　　　　　　　　　　　　　　　　"</f>
        <v>３０１　　　　　　　　　　　　　　　　　</v>
      </c>
      <c r="L3960" s="1"/>
    </row>
    <row r="3961" spans="1:12" ht="18" customHeight="1" x14ac:dyDescent="0.15">
      <c r="A3961" s="11">
        <v>4691</v>
      </c>
      <c r="B3961" s="11" t="s">
        <v>78</v>
      </c>
      <c r="C3961" s="11" t="s">
        <v>423</v>
      </c>
      <c r="D3961" s="11">
        <v>1</v>
      </c>
      <c r="E3961" s="11" t="s">
        <v>4</v>
      </c>
      <c r="F3961" s="12">
        <v>96305</v>
      </c>
      <c r="G3961" s="12">
        <v>96305</v>
      </c>
      <c r="H3961" s="11" t="str">
        <f t="shared" si="126"/>
        <v>平成6年9月14日</v>
      </c>
      <c r="I3961" s="22">
        <f t="shared" si="127"/>
        <v>34591</v>
      </c>
      <c r="J3961" s="1" t="str">
        <f>"00746341"</f>
        <v>00746341</v>
      </c>
      <c r="K3961" s="1" t="str">
        <f>"３０２　　　　　　　　　　　　　　　　　"</f>
        <v>３０２　　　　　　　　　　　　　　　　　</v>
      </c>
      <c r="L3961" s="1"/>
    </row>
    <row r="3962" spans="1:12" ht="18" customHeight="1" x14ac:dyDescent="0.15">
      <c r="A3962" s="11">
        <v>4697</v>
      </c>
      <c r="B3962" s="11" t="s">
        <v>428</v>
      </c>
      <c r="C3962" s="11" t="s">
        <v>429</v>
      </c>
      <c r="D3962" s="11">
        <v>1</v>
      </c>
      <c r="E3962" s="11" t="s">
        <v>4</v>
      </c>
      <c r="F3962" s="12">
        <v>29870</v>
      </c>
      <c r="G3962" s="12">
        <v>29870</v>
      </c>
      <c r="H3962" s="11" t="str">
        <f t="shared" si="126"/>
        <v>平成6年9月14日</v>
      </c>
      <c r="I3962" s="22">
        <f t="shared" si="127"/>
        <v>34591</v>
      </c>
      <c r="J3962" s="1" t="str">
        <f>"00746355"</f>
        <v>00746355</v>
      </c>
      <c r="K3962" s="1" t="str">
        <f>"３０４　　　　　　　　　　　　　　　　　"</f>
        <v>３０４　　　　　　　　　　　　　　　　　</v>
      </c>
      <c r="L3962" s="1"/>
    </row>
    <row r="3963" spans="1:12" ht="18" customHeight="1" x14ac:dyDescent="0.15">
      <c r="A3963" s="11">
        <v>4698</v>
      </c>
      <c r="B3963" s="11" t="s">
        <v>430</v>
      </c>
      <c r="C3963" s="11" t="s">
        <v>429</v>
      </c>
      <c r="D3963" s="11">
        <v>1</v>
      </c>
      <c r="E3963" s="11" t="s">
        <v>4</v>
      </c>
      <c r="F3963" s="12">
        <v>23690</v>
      </c>
      <c r="G3963" s="12">
        <v>23690</v>
      </c>
      <c r="H3963" s="11" t="str">
        <f t="shared" si="126"/>
        <v>平成6年9月14日</v>
      </c>
      <c r="I3963" s="22">
        <f t="shared" si="127"/>
        <v>34591</v>
      </c>
      <c r="J3963" s="1" t="str">
        <f>"00746357"</f>
        <v>00746357</v>
      </c>
      <c r="K3963" s="1" t="str">
        <f>"３０１　　　　　　　　　　　　　　　　　"</f>
        <v>３０１　　　　　　　　　　　　　　　　　</v>
      </c>
      <c r="L3963" s="1"/>
    </row>
    <row r="3964" spans="1:12" ht="18" customHeight="1" x14ac:dyDescent="0.15">
      <c r="A3964" s="11">
        <v>4721</v>
      </c>
      <c r="B3964" s="11" t="s">
        <v>436</v>
      </c>
      <c r="C3964" s="11" t="s">
        <v>438</v>
      </c>
      <c r="D3964" s="11">
        <v>1</v>
      </c>
      <c r="E3964" s="11" t="s">
        <v>4</v>
      </c>
      <c r="F3964" s="12">
        <v>72000</v>
      </c>
      <c r="G3964" s="12">
        <v>72000</v>
      </c>
      <c r="H3964" s="11" t="str">
        <f t="shared" si="126"/>
        <v>平成6年9月14日</v>
      </c>
      <c r="I3964" s="22">
        <f t="shared" si="127"/>
        <v>34591</v>
      </c>
      <c r="J3964" s="1" t="str">
        <f>"00746413"</f>
        <v>00746413</v>
      </c>
      <c r="K3964" s="1" t="str">
        <f>"３１７　　　　　　　　　　　　　　　　　"</f>
        <v>３１７　　　　　　　　　　　　　　　　　</v>
      </c>
      <c r="L3964" s="1"/>
    </row>
    <row r="3965" spans="1:12" ht="18" customHeight="1" x14ac:dyDescent="0.15">
      <c r="A3965" s="11">
        <v>4722</v>
      </c>
      <c r="B3965" s="11" t="s">
        <v>436</v>
      </c>
      <c r="C3965" s="11" t="s">
        <v>438</v>
      </c>
      <c r="D3965" s="11">
        <v>1</v>
      </c>
      <c r="E3965" s="11" t="s">
        <v>4</v>
      </c>
      <c r="F3965" s="12">
        <v>72000</v>
      </c>
      <c r="G3965" s="12">
        <v>72000</v>
      </c>
      <c r="H3965" s="11" t="str">
        <f t="shared" si="126"/>
        <v>平成6年9月14日</v>
      </c>
      <c r="I3965" s="22">
        <f t="shared" si="127"/>
        <v>34591</v>
      </c>
      <c r="J3965" s="1" t="str">
        <f>"00746414"</f>
        <v>00746414</v>
      </c>
      <c r="K3965" s="1" t="str">
        <f>"３１８　　　　　　　　　　　　　　　　　"</f>
        <v>３１８　　　　　　　　　　　　　　　　　</v>
      </c>
      <c r="L3965" s="1"/>
    </row>
    <row r="3966" spans="1:12" ht="18" customHeight="1" x14ac:dyDescent="0.15">
      <c r="A3966" s="11">
        <v>4723</v>
      </c>
      <c r="B3966" s="11" t="s">
        <v>436</v>
      </c>
      <c r="C3966" s="11" t="s">
        <v>438</v>
      </c>
      <c r="D3966" s="11">
        <v>1</v>
      </c>
      <c r="E3966" s="11" t="s">
        <v>4</v>
      </c>
      <c r="F3966" s="12">
        <v>72000</v>
      </c>
      <c r="G3966" s="12">
        <v>72000</v>
      </c>
      <c r="H3966" s="11" t="str">
        <f t="shared" si="126"/>
        <v>平成6年9月14日</v>
      </c>
      <c r="I3966" s="22">
        <f t="shared" si="127"/>
        <v>34591</v>
      </c>
      <c r="J3966" s="1" t="str">
        <f>"00746417"</f>
        <v>00746417</v>
      </c>
      <c r="K3966" s="1" t="str">
        <f>"３１９　　　　　　　　　　　　　　　　　"</f>
        <v>３１９　　　　　　　　　　　　　　　　　</v>
      </c>
      <c r="L3966" s="1"/>
    </row>
    <row r="3967" spans="1:12" ht="18" customHeight="1" x14ac:dyDescent="0.15">
      <c r="A3967" s="11">
        <v>4724</v>
      </c>
      <c r="B3967" s="11" t="s">
        <v>436</v>
      </c>
      <c r="C3967" s="11" t="s">
        <v>438</v>
      </c>
      <c r="D3967" s="11">
        <v>1</v>
      </c>
      <c r="E3967" s="11" t="s">
        <v>4</v>
      </c>
      <c r="F3967" s="12">
        <v>72000</v>
      </c>
      <c r="G3967" s="12">
        <v>72000</v>
      </c>
      <c r="H3967" s="11" t="str">
        <f t="shared" si="126"/>
        <v>平成6年9月14日</v>
      </c>
      <c r="I3967" s="22">
        <f t="shared" si="127"/>
        <v>34591</v>
      </c>
      <c r="J3967" s="1" t="str">
        <f>"00746419"</f>
        <v>00746419</v>
      </c>
      <c r="K3967" s="1" t="str">
        <f>"３２０　　　　　　　　　　　　　　　　　"</f>
        <v>３２０　　　　　　　　　　　　　　　　　</v>
      </c>
      <c r="L3967" s="1"/>
    </row>
    <row r="3968" spans="1:12" ht="18" customHeight="1" x14ac:dyDescent="0.15">
      <c r="A3968" s="11">
        <v>4725</v>
      </c>
      <c r="B3968" s="11" t="s">
        <v>436</v>
      </c>
      <c r="C3968" s="11" t="s">
        <v>438</v>
      </c>
      <c r="D3968" s="11">
        <v>1</v>
      </c>
      <c r="E3968" s="11" t="s">
        <v>4</v>
      </c>
      <c r="F3968" s="12">
        <v>72000</v>
      </c>
      <c r="G3968" s="12">
        <v>72000</v>
      </c>
      <c r="H3968" s="11" t="str">
        <f t="shared" si="126"/>
        <v>平成6年9月14日</v>
      </c>
      <c r="I3968" s="22">
        <f t="shared" si="127"/>
        <v>34591</v>
      </c>
      <c r="J3968" s="1" t="str">
        <f>"00746420"</f>
        <v>00746420</v>
      </c>
      <c r="K3968" s="1" t="str">
        <f>"３２１　　　　　　　　　　　　　　　　　"</f>
        <v>３２１　　　　　　　　　　　　　　　　　</v>
      </c>
      <c r="L3968" s="1"/>
    </row>
    <row r="3969" spans="1:12" ht="18" customHeight="1" x14ac:dyDescent="0.15">
      <c r="A3969" s="11">
        <v>4726</v>
      </c>
      <c r="B3969" s="11" t="s">
        <v>436</v>
      </c>
      <c r="C3969" s="11" t="s">
        <v>438</v>
      </c>
      <c r="D3969" s="11">
        <v>1</v>
      </c>
      <c r="E3969" s="11" t="s">
        <v>4</v>
      </c>
      <c r="F3969" s="12">
        <v>72000</v>
      </c>
      <c r="G3969" s="12">
        <v>72000</v>
      </c>
      <c r="H3969" s="11" t="str">
        <f t="shared" si="126"/>
        <v>平成6年9月14日</v>
      </c>
      <c r="I3969" s="22">
        <f t="shared" si="127"/>
        <v>34591</v>
      </c>
      <c r="J3969" s="1" t="str">
        <f>"00746423"</f>
        <v>00746423</v>
      </c>
      <c r="K3969" s="1" t="str">
        <f>"３２３　　　　　　　　　　　　　　　　　"</f>
        <v>３２３　　　　　　　　　　　　　　　　　</v>
      </c>
      <c r="L3969" s="1"/>
    </row>
    <row r="3970" spans="1:12" ht="18" customHeight="1" x14ac:dyDescent="0.15">
      <c r="A3970" s="11">
        <v>4727</v>
      </c>
      <c r="B3970" s="11" t="s">
        <v>436</v>
      </c>
      <c r="C3970" s="11" t="s">
        <v>438</v>
      </c>
      <c r="D3970" s="11">
        <v>1</v>
      </c>
      <c r="E3970" s="11" t="s">
        <v>4</v>
      </c>
      <c r="F3970" s="12">
        <v>72000</v>
      </c>
      <c r="G3970" s="12">
        <v>72000</v>
      </c>
      <c r="H3970" s="11" t="str">
        <f t="shared" si="126"/>
        <v>平成6年9月14日</v>
      </c>
      <c r="I3970" s="22">
        <f t="shared" si="127"/>
        <v>34591</v>
      </c>
      <c r="J3970" s="1" t="str">
        <f>"00746426"</f>
        <v>00746426</v>
      </c>
      <c r="K3970" s="1" t="str">
        <f>"３２５　　　　　　　　　　　　　　　　　"</f>
        <v>３２５　　　　　　　　　　　　　　　　　</v>
      </c>
      <c r="L3970" s="1"/>
    </row>
    <row r="3971" spans="1:12" ht="18" customHeight="1" x14ac:dyDescent="0.15">
      <c r="A3971" s="11">
        <v>4728</v>
      </c>
      <c r="B3971" s="11" t="s">
        <v>436</v>
      </c>
      <c r="C3971" s="11" t="s">
        <v>438</v>
      </c>
      <c r="D3971" s="11">
        <v>1</v>
      </c>
      <c r="E3971" s="11" t="s">
        <v>4</v>
      </c>
      <c r="F3971" s="12">
        <v>72000</v>
      </c>
      <c r="G3971" s="12">
        <v>72000</v>
      </c>
      <c r="H3971" s="11" t="str">
        <f t="shared" si="126"/>
        <v>平成6年9月14日</v>
      </c>
      <c r="I3971" s="22">
        <f t="shared" si="127"/>
        <v>34591</v>
      </c>
      <c r="J3971" s="1" t="str">
        <f>"00746429"</f>
        <v>00746429</v>
      </c>
      <c r="K3971" s="1" t="str">
        <f>"３２６　　　　　　　　　　　　　　　　　"</f>
        <v>３２６　　　　　　　　　　　　　　　　　</v>
      </c>
      <c r="L3971" s="1"/>
    </row>
    <row r="3972" spans="1:12" ht="18" customHeight="1" x14ac:dyDescent="0.15">
      <c r="A3972" s="11">
        <v>4729</v>
      </c>
      <c r="B3972" s="11" t="s">
        <v>436</v>
      </c>
      <c r="C3972" s="11" t="s">
        <v>438</v>
      </c>
      <c r="D3972" s="11">
        <v>1</v>
      </c>
      <c r="E3972" s="11" t="s">
        <v>4</v>
      </c>
      <c r="F3972" s="12">
        <v>72000</v>
      </c>
      <c r="G3972" s="12">
        <v>72000</v>
      </c>
      <c r="H3972" s="11" t="str">
        <f t="shared" si="126"/>
        <v>平成6年9月14日</v>
      </c>
      <c r="I3972" s="22">
        <f t="shared" si="127"/>
        <v>34591</v>
      </c>
      <c r="J3972" s="1" t="str">
        <f>"00746430"</f>
        <v>00746430</v>
      </c>
      <c r="K3972" s="1" t="str">
        <f>"３２７　　　　　　　　　　　　　　　　　"</f>
        <v>３２７　　　　　　　　　　　　　　　　　</v>
      </c>
      <c r="L3972" s="1"/>
    </row>
    <row r="3973" spans="1:12" ht="18" customHeight="1" x14ac:dyDescent="0.15">
      <c r="A3973" s="11">
        <v>4730</v>
      </c>
      <c r="B3973" s="11" t="s">
        <v>436</v>
      </c>
      <c r="C3973" s="11" t="s">
        <v>438</v>
      </c>
      <c r="D3973" s="11">
        <v>1</v>
      </c>
      <c r="E3973" s="11" t="s">
        <v>4</v>
      </c>
      <c r="F3973" s="12">
        <v>72000</v>
      </c>
      <c r="G3973" s="12">
        <v>72000</v>
      </c>
      <c r="H3973" s="11" t="str">
        <f t="shared" si="126"/>
        <v>平成6年9月14日</v>
      </c>
      <c r="I3973" s="22">
        <f t="shared" si="127"/>
        <v>34591</v>
      </c>
      <c r="J3973" s="1" t="str">
        <f>"00746432"</f>
        <v>00746432</v>
      </c>
      <c r="K3973" s="1" t="str">
        <f>"３２８　　　　　　　　　　　　　　　　　"</f>
        <v>３２８　　　　　　　　　　　　　　　　　</v>
      </c>
      <c r="L3973" s="1"/>
    </row>
    <row r="3974" spans="1:12" ht="18" customHeight="1" x14ac:dyDescent="0.15">
      <c r="A3974" s="11">
        <v>4731</v>
      </c>
      <c r="B3974" s="11" t="s">
        <v>436</v>
      </c>
      <c r="C3974" s="11" t="s">
        <v>438</v>
      </c>
      <c r="D3974" s="11">
        <v>1</v>
      </c>
      <c r="E3974" s="11" t="s">
        <v>4</v>
      </c>
      <c r="F3974" s="12">
        <v>72000</v>
      </c>
      <c r="G3974" s="12">
        <v>72000</v>
      </c>
      <c r="H3974" s="11" t="str">
        <f t="shared" si="126"/>
        <v>平成6年9月14日</v>
      </c>
      <c r="I3974" s="22">
        <f t="shared" si="127"/>
        <v>34591</v>
      </c>
      <c r="J3974" s="1" t="str">
        <f>"00746435"</f>
        <v>00746435</v>
      </c>
      <c r="K3974" s="1" t="str">
        <f>"３２９　　　　　　　　　　　　　　　　　"</f>
        <v>３２９　　　　　　　　　　　　　　　　　</v>
      </c>
      <c r="L3974" s="1"/>
    </row>
    <row r="3975" spans="1:12" ht="18" customHeight="1" x14ac:dyDescent="0.15">
      <c r="A3975" s="11">
        <v>4732</v>
      </c>
      <c r="B3975" s="11" t="s">
        <v>436</v>
      </c>
      <c r="C3975" s="11" t="s">
        <v>438</v>
      </c>
      <c r="D3975" s="11">
        <v>1</v>
      </c>
      <c r="E3975" s="11" t="s">
        <v>4</v>
      </c>
      <c r="F3975" s="12">
        <v>72000</v>
      </c>
      <c r="G3975" s="12">
        <v>72000</v>
      </c>
      <c r="H3975" s="11" t="str">
        <f t="shared" si="126"/>
        <v>平成6年9月14日</v>
      </c>
      <c r="I3975" s="22">
        <f t="shared" si="127"/>
        <v>34591</v>
      </c>
      <c r="J3975" s="1" t="str">
        <f>"00746436"</f>
        <v>00746436</v>
      </c>
      <c r="K3975" s="1" t="str">
        <f>"３３０　　　　　　　　　　　　　　　　　"</f>
        <v>３３０　　　　　　　　　　　　　　　　　</v>
      </c>
      <c r="L3975" s="1"/>
    </row>
    <row r="3976" spans="1:12" ht="18" customHeight="1" x14ac:dyDescent="0.15">
      <c r="A3976" s="25">
        <v>4773</v>
      </c>
      <c r="B3976" s="25" t="s">
        <v>456</v>
      </c>
      <c r="C3976" s="25" t="s">
        <v>457</v>
      </c>
      <c r="D3976" s="25">
        <v>1</v>
      </c>
      <c r="E3976" s="25" t="s">
        <v>4</v>
      </c>
      <c r="F3976" s="38">
        <v>66700</v>
      </c>
      <c r="G3976" s="38" t="s">
        <v>674</v>
      </c>
      <c r="H3976" s="25" t="str">
        <f t="shared" si="126"/>
        <v>平成6年9月14日</v>
      </c>
      <c r="I3976" s="22">
        <f t="shared" si="127"/>
        <v>34591</v>
      </c>
      <c r="J3976" s="1" t="str">
        <f>"00746529"</f>
        <v>00746529</v>
      </c>
      <c r="K3976" s="1" t="str">
        <f>"３２６　　　　　　　　　　　　　　　　　"</f>
        <v>３２６　　　　　　　　　　　　　　　　　</v>
      </c>
      <c r="L3976" s="1"/>
    </row>
    <row r="3977" spans="1:12" ht="18" customHeight="1" x14ac:dyDescent="0.15">
      <c r="A3977" s="25">
        <v>4774</v>
      </c>
      <c r="B3977" s="25" t="s">
        <v>456</v>
      </c>
      <c r="C3977" s="25" t="s">
        <v>457</v>
      </c>
      <c r="D3977" s="25">
        <v>1</v>
      </c>
      <c r="E3977" s="25" t="s">
        <v>4</v>
      </c>
      <c r="F3977" s="38">
        <v>66700</v>
      </c>
      <c r="G3977" s="38" t="s">
        <v>674</v>
      </c>
      <c r="H3977" s="25" t="str">
        <f t="shared" si="126"/>
        <v>平成6年9月14日</v>
      </c>
      <c r="I3977" s="22">
        <f t="shared" si="127"/>
        <v>34591</v>
      </c>
      <c r="J3977" s="1" t="str">
        <f>"00746531"</f>
        <v>00746531</v>
      </c>
      <c r="K3977" s="1" t="str">
        <f>"３２７　　　　　　　　　　　　　　　　　"</f>
        <v>３２７　　　　　　　　　　　　　　　　　</v>
      </c>
      <c r="L3977" s="1"/>
    </row>
    <row r="3978" spans="1:12" ht="18" customHeight="1" x14ac:dyDescent="0.15">
      <c r="A3978" s="25">
        <v>4775</v>
      </c>
      <c r="B3978" s="25" t="s">
        <v>456</v>
      </c>
      <c r="C3978" s="25" t="s">
        <v>457</v>
      </c>
      <c r="D3978" s="25">
        <v>1</v>
      </c>
      <c r="E3978" s="25" t="s">
        <v>4</v>
      </c>
      <c r="F3978" s="38">
        <v>66700</v>
      </c>
      <c r="G3978" s="38" t="s">
        <v>674</v>
      </c>
      <c r="H3978" s="25" t="str">
        <f t="shared" si="126"/>
        <v>平成6年9月14日</v>
      </c>
      <c r="I3978" s="22">
        <f t="shared" si="127"/>
        <v>34591</v>
      </c>
      <c r="J3978" s="1" t="str">
        <f>"00746533"</f>
        <v>00746533</v>
      </c>
      <c r="K3978" s="1" t="str">
        <f>"３２８　　　　　　　　　　　　　　　　　"</f>
        <v>３２８　　　　　　　　　　　　　　　　　</v>
      </c>
      <c r="L3978" s="1"/>
    </row>
    <row r="3979" spans="1:12" ht="18" customHeight="1" x14ac:dyDescent="0.15">
      <c r="A3979" s="25">
        <v>4776</v>
      </c>
      <c r="B3979" s="25" t="s">
        <v>456</v>
      </c>
      <c r="C3979" s="25" t="s">
        <v>457</v>
      </c>
      <c r="D3979" s="25">
        <v>1</v>
      </c>
      <c r="E3979" s="25" t="s">
        <v>4</v>
      </c>
      <c r="F3979" s="38">
        <v>66700</v>
      </c>
      <c r="G3979" s="38" t="s">
        <v>674</v>
      </c>
      <c r="H3979" s="25" t="str">
        <f t="shared" si="126"/>
        <v>平成6年9月14日</v>
      </c>
      <c r="I3979" s="22">
        <f t="shared" si="127"/>
        <v>34591</v>
      </c>
      <c r="J3979" s="1" t="str">
        <f>"00746535"</f>
        <v>00746535</v>
      </c>
      <c r="K3979" s="1" t="str">
        <f>"３２９　　　　　　　　　　　　　　　　　"</f>
        <v>３２９　　　　　　　　　　　　　　　　　</v>
      </c>
      <c r="L3979" s="1"/>
    </row>
    <row r="3980" spans="1:12" ht="18" customHeight="1" x14ac:dyDescent="0.15">
      <c r="A3980" s="25">
        <v>4777</v>
      </c>
      <c r="B3980" s="25" t="s">
        <v>456</v>
      </c>
      <c r="C3980" s="25" t="s">
        <v>457</v>
      </c>
      <c r="D3980" s="25">
        <v>1</v>
      </c>
      <c r="E3980" s="25" t="s">
        <v>4</v>
      </c>
      <c r="F3980" s="38">
        <v>66700</v>
      </c>
      <c r="G3980" s="38" t="s">
        <v>674</v>
      </c>
      <c r="H3980" s="25" t="str">
        <f t="shared" si="126"/>
        <v>平成6年9月14日</v>
      </c>
      <c r="I3980" s="22">
        <f t="shared" si="127"/>
        <v>34591</v>
      </c>
      <c r="J3980" s="1" t="str">
        <f>"00746537"</f>
        <v>00746537</v>
      </c>
      <c r="K3980" s="1" t="str">
        <f>"３３０　　　　　　　　　　　　　　　　　"</f>
        <v>３３０　　　　　　　　　　　　　　　　　</v>
      </c>
      <c r="L3980" s="1"/>
    </row>
    <row r="3981" spans="1:12" ht="18" customHeight="1" x14ac:dyDescent="0.15">
      <c r="A3981" s="25">
        <v>4778</v>
      </c>
      <c r="B3981" s="25" t="s">
        <v>456</v>
      </c>
      <c r="C3981" s="25" t="s">
        <v>457</v>
      </c>
      <c r="D3981" s="25">
        <v>1</v>
      </c>
      <c r="E3981" s="25" t="s">
        <v>4</v>
      </c>
      <c r="F3981" s="38">
        <v>66700</v>
      </c>
      <c r="G3981" s="38" t="s">
        <v>674</v>
      </c>
      <c r="H3981" s="25" t="str">
        <f t="shared" si="126"/>
        <v>平成6年9月14日</v>
      </c>
      <c r="I3981" s="22">
        <f t="shared" si="127"/>
        <v>34591</v>
      </c>
      <c r="J3981" s="1" t="str">
        <f>"00746539"</f>
        <v>00746539</v>
      </c>
      <c r="K3981" s="1" t="str">
        <f>"３３１　　　　　　　　　　　　　　　　　"</f>
        <v>３３１　　　　　　　　　　　　　　　　　</v>
      </c>
      <c r="L3981" s="1"/>
    </row>
    <row r="3982" spans="1:12" ht="18" customHeight="1" x14ac:dyDescent="0.15">
      <c r="A3982" s="25">
        <v>4779</v>
      </c>
      <c r="B3982" s="25" t="s">
        <v>456</v>
      </c>
      <c r="C3982" s="25" t="s">
        <v>457</v>
      </c>
      <c r="D3982" s="25">
        <v>1</v>
      </c>
      <c r="E3982" s="25" t="s">
        <v>4</v>
      </c>
      <c r="F3982" s="38">
        <v>66700</v>
      </c>
      <c r="G3982" s="38" t="s">
        <v>674</v>
      </c>
      <c r="H3982" s="25" t="str">
        <f t="shared" si="126"/>
        <v>平成6年9月14日</v>
      </c>
      <c r="I3982" s="22">
        <f t="shared" si="127"/>
        <v>34591</v>
      </c>
      <c r="J3982" s="1" t="str">
        <f>"00746541"</f>
        <v>00746541</v>
      </c>
      <c r="K3982" s="1" t="str">
        <f>"３３２　　　　　　　　　　　　　　　　　"</f>
        <v>３３２　　　　　　　　　　　　　　　　　</v>
      </c>
      <c r="L3982" s="1"/>
    </row>
    <row r="3983" spans="1:12" ht="18" customHeight="1" x14ac:dyDescent="0.15">
      <c r="A3983" s="25">
        <v>4780</v>
      </c>
      <c r="B3983" s="25" t="s">
        <v>456</v>
      </c>
      <c r="C3983" s="25" t="s">
        <v>457</v>
      </c>
      <c r="D3983" s="25">
        <v>1</v>
      </c>
      <c r="E3983" s="25" t="s">
        <v>4</v>
      </c>
      <c r="F3983" s="38">
        <v>66700</v>
      </c>
      <c r="G3983" s="38" t="s">
        <v>674</v>
      </c>
      <c r="H3983" s="25" t="str">
        <f t="shared" ref="H3983:H4046" si="128">"平成6年9月14日"</f>
        <v>平成6年9月14日</v>
      </c>
      <c r="I3983" s="22">
        <f t="shared" si="127"/>
        <v>34591</v>
      </c>
      <c r="J3983" s="1" t="str">
        <f>"00746543"</f>
        <v>00746543</v>
      </c>
      <c r="K3983" s="1" t="str">
        <f>"３３３　　　　　　　　　　　　　　　　　"</f>
        <v>３３３　　　　　　　　　　　　　　　　　</v>
      </c>
      <c r="L3983" s="1"/>
    </row>
    <row r="3984" spans="1:12" ht="18" customHeight="1" x14ac:dyDescent="0.15">
      <c r="A3984" s="25">
        <v>4781</v>
      </c>
      <c r="B3984" s="25" t="s">
        <v>456</v>
      </c>
      <c r="C3984" s="25" t="s">
        <v>457</v>
      </c>
      <c r="D3984" s="25">
        <v>1</v>
      </c>
      <c r="E3984" s="25" t="s">
        <v>4</v>
      </c>
      <c r="F3984" s="38">
        <v>66700</v>
      </c>
      <c r="G3984" s="38" t="s">
        <v>674</v>
      </c>
      <c r="H3984" s="25" t="str">
        <f t="shared" si="128"/>
        <v>平成6年9月14日</v>
      </c>
      <c r="I3984" s="22">
        <f t="shared" si="127"/>
        <v>34591</v>
      </c>
      <c r="J3984" s="1" t="str">
        <f>"00746545"</f>
        <v>00746545</v>
      </c>
      <c r="K3984" s="1" t="str">
        <f>"３３４　　　　　　　　　　　　　　　　　"</f>
        <v>３３４　　　　　　　　　　　　　　　　　</v>
      </c>
      <c r="L3984" s="1"/>
    </row>
    <row r="3985" spans="1:12" ht="18" customHeight="1" x14ac:dyDescent="0.15">
      <c r="A3985" s="25">
        <v>4782</v>
      </c>
      <c r="B3985" s="25" t="s">
        <v>456</v>
      </c>
      <c r="C3985" s="25" t="s">
        <v>457</v>
      </c>
      <c r="D3985" s="25">
        <v>1</v>
      </c>
      <c r="E3985" s="25" t="s">
        <v>4</v>
      </c>
      <c r="F3985" s="38">
        <v>66700</v>
      </c>
      <c r="G3985" s="38" t="s">
        <v>674</v>
      </c>
      <c r="H3985" s="25" t="str">
        <f t="shared" si="128"/>
        <v>平成6年9月14日</v>
      </c>
      <c r="I3985" s="22">
        <f t="shared" si="127"/>
        <v>34591</v>
      </c>
      <c r="J3985" s="1" t="str">
        <f>"00746547"</f>
        <v>00746547</v>
      </c>
      <c r="K3985" s="1" t="str">
        <f>"３３５　　　　　　　　　　　　　　　　　"</f>
        <v>３３５　　　　　　　　　　　　　　　　　</v>
      </c>
      <c r="L3985" s="1"/>
    </row>
    <row r="3986" spans="1:12" ht="18" customHeight="1" x14ac:dyDescent="0.15">
      <c r="A3986" s="25">
        <v>4783</v>
      </c>
      <c r="B3986" s="25" t="s">
        <v>456</v>
      </c>
      <c r="C3986" s="25" t="s">
        <v>457</v>
      </c>
      <c r="D3986" s="25">
        <v>1</v>
      </c>
      <c r="E3986" s="25" t="s">
        <v>4</v>
      </c>
      <c r="F3986" s="38">
        <v>66700</v>
      </c>
      <c r="G3986" s="38" t="s">
        <v>674</v>
      </c>
      <c r="H3986" s="25" t="str">
        <f t="shared" si="128"/>
        <v>平成6年9月14日</v>
      </c>
      <c r="I3986" s="22">
        <f t="shared" ref="I3986:I4049" si="129">DATEVALUE(H3986)</f>
        <v>34591</v>
      </c>
      <c r="J3986" s="1" t="str">
        <f>"00746549"</f>
        <v>00746549</v>
      </c>
      <c r="K3986" s="1" t="str">
        <f>"３３６　　　　　　　　　　　　　　　　　"</f>
        <v>３３６　　　　　　　　　　　　　　　　　</v>
      </c>
      <c r="L3986" s="1"/>
    </row>
    <row r="3987" spans="1:12" ht="18" customHeight="1" x14ac:dyDescent="0.15">
      <c r="A3987" s="25">
        <v>4784</v>
      </c>
      <c r="B3987" s="25" t="s">
        <v>456</v>
      </c>
      <c r="C3987" s="25" t="s">
        <v>457</v>
      </c>
      <c r="D3987" s="25">
        <v>1</v>
      </c>
      <c r="E3987" s="25" t="s">
        <v>4</v>
      </c>
      <c r="F3987" s="38">
        <v>66700</v>
      </c>
      <c r="G3987" s="38" t="s">
        <v>674</v>
      </c>
      <c r="H3987" s="25" t="str">
        <f t="shared" si="128"/>
        <v>平成6年9月14日</v>
      </c>
      <c r="I3987" s="22">
        <f t="shared" si="129"/>
        <v>34591</v>
      </c>
      <c r="J3987" s="1" t="str">
        <f>"00746551"</f>
        <v>00746551</v>
      </c>
      <c r="K3987" s="1" t="str">
        <f>"３３７　　　　　　　　　　　　　　　　　"</f>
        <v>３３７　　　　　　　　　　　　　　　　　</v>
      </c>
      <c r="L3987" s="1"/>
    </row>
    <row r="3988" spans="1:12" ht="18" customHeight="1" x14ac:dyDescent="0.15">
      <c r="A3988" s="25">
        <v>4785</v>
      </c>
      <c r="B3988" s="25" t="s">
        <v>456</v>
      </c>
      <c r="C3988" s="25" t="s">
        <v>457</v>
      </c>
      <c r="D3988" s="25">
        <v>1</v>
      </c>
      <c r="E3988" s="25" t="s">
        <v>4</v>
      </c>
      <c r="F3988" s="38">
        <v>66700</v>
      </c>
      <c r="G3988" s="38" t="s">
        <v>674</v>
      </c>
      <c r="H3988" s="25" t="str">
        <f t="shared" si="128"/>
        <v>平成6年9月14日</v>
      </c>
      <c r="I3988" s="22">
        <f t="shared" si="129"/>
        <v>34591</v>
      </c>
      <c r="J3988" s="1" t="str">
        <f>"00746553"</f>
        <v>00746553</v>
      </c>
      <c r="K3988" s="1" t="str">
        <f>"３３８　　　　　　　　　　　　　　　　　"</f>
        <v>３３８　　　　　　　　　　　　　　　　　</v>
      </c>
      <c r="L3988" s="1"/>
    </row>
    <row r="3989" spans="1:12" ht="18" customHeight="1" x14ac:dyDescent="0.15">
      <c r="A3989" s="25">
        <v>4786</v>
      </c>
      <c r="B3989" s="25" t="s">
        <v>456</v>
      </c>
      <c r="C3989" s="25" t="s">
        <v>457</v>
      </c>
      <c r="D3989" s="25">
        <v>1</v>
      </c>
      <c r="E3989" s="25" t="s">
        <v>4</v>
      </c>
      <c r="F3989" s="38">
        <v>66700</v>
      </c>
      <c r="G3989" s="38" t="s">
        <v>674</v>
      </c>
      <c r="H3989" s="25" t="str">
        <f t="shared" si="128"/>
        <v>平成6年9月14日</v>
      </c>
      <c r="I3989" s="22">
        <f t="shared" si="129"/>
        <v>34591</v>
      </c>
      <c r="J3989" s="1" t="str">
        <f>"00746555"</f>
        <v>00746555</v>
      </c>
      <c r="K3989" s="1" t="str">
        <f>"３３９　　　　　　　　　　　　　　　　　"</f>
        <v>３３９　　　　　　　　　　　　　　　　　</v>
      </c>
      <c r="L3989" s="1"/>
    </row>
    <row r="3990" spans="1:12" ht="18" customHeight="1" x14ac:dyDescent="0.15">
      <c r="A3990" s="25">
        <v>4787</v>
      </c>
      <c r="B3990" s="25" t="s">
        <v>456</v>
      </c>
      <c r="C3990" s="25" t="s">
        <v>457</v>
      </c>
      <c r="D3990" s="25">
        <v>1</v>
      </c>
      <c r="E3990" s="25" t="s">
        <v>4</v>
      </c>
      <c r="F3990" s="38">
        <v>66700</v>
      </c>
      <c r="G3990" s="38" t="s">
        <v>674</v>
      </c>
      <c r="H3990" s="25" t="str">
        <f t="shared" si="128"/>
        <v>平成6年9月14日</v>
      </c>
      <c r="I3990" s="22">
        <f t="shared" si="129"/>
        <v>34591</v>
      </c>
      <c r="J3990" s="1" t="str">
        <f>"00746557"</f>
        <v>00746557</v>
      </c>
      <c r="K3990" s="1" t="str">
        <f>"３４０　　　　　　　　　　　　　　　　　"</f>
        <v>３４０　　　　　　　　　　　　　　　　　</v>
      </c>
      <c r="L3990" s="1"/>
    </row>
    <row r="3991" spans="1:12" ht="18" customHeight="1" x14ac:dyDescent="0.15">
      <c r="A3991" s="25">
        <v>4788</v>
      </c>
      <c r="B3991" s="25" t="s">
        <v>456</v>
      </c>
      <c r="C3991" s="25" t="s">
        <v>457</v>
      </c>
      <c r="D3991" s="25">
        <v>1</v>
      </c>
      <c r="E3991" s="25" t="s">
        <v>4</v>
      </c>
      <c r="F3991" s="38">
        <v>66700</v>
      </c>
      <c r="G3991" s="38" t="s">
        <v>674</v>
      </c>
      <c r="H3991" s="25" t="str">
        <f t="shared" si="128"/>
        <v>平成6年9月14日</v>
      </c>
      <c r="I3991" s="22">
        <f t="shared" si="129"/>
        <v>34591</v>
      </c>
      <c r="J3991" s="1" t="str">
        <f>"00746559"</f>
        <v>00746559</v>
      </c>
      <c r="K3991" s="1" t="str">
        <f>"３４１　　　　　　　　　　　　　　　　　"</f>
        <v>３４１　　　　　　　　　　　　　　　　　</v>
      </c>
      <c r="L3991" s="1"/>
    </row>
    <row r="3992" spans="1:12" ht="18" customHeight="1" x14ac:dyDescent="0.15">
      <c r="A3992" s="25">
        <v>4789</v>
      </c>
      <c r="B3992" s="25" t="s">
        <v>456</v>
      </c>
      <c r="C3992" s="25" t="s">
        <v>457</v>
      </c>
      <c r="D3992" s="25">
        <v>1</v>
      </c>
      <c r="E3992" s="25" t="s">
        <v>4</v>
      </c>
      <c r="F3992" s="38">
        <v>66700</v>
      </c>
      <c r="G3992" s="38" t="s">
        <v>674</v>
      </c>
      <c r="H3992" s="25" t="str">
        <f t="shared" si="128"/>
        <v>平成6年9月14日</v>
      </c>
      <c r="I3992" s="22">
        <f t="shared" si="129"/>
        <v>34591</v>
      </c>
      <c r="J3992" s="1" t="str">
        <f>"00746561"</f>
        <v>00746561</v>
      </c>
      <c r="K3992" s="1" t="str">
        <f>"３４２　　　　　　　　　　　　　　　　　"</f>
        <v>３４２　　　　　　　　　　　　　　　　　</v>
      </c>
      <c r="L3992" s="1"/>
    </row>
    <row r="3993" spans="1:12" ht="18" customHeight="1" x14ac:dyDescent="0.15">
      <c r="A3993" s="25">
        <v>4790</v>
      </c>
      <c r="B3993" s="25" t="s">
        <v>456</v>
      </c>
      <c r="C3993" s="25" t="s">
        <v>457</v>
      </c>
      <c r="D3993" s="25">
        <v>1</v>
      </c>
      <c r="E3993" s="25" t="s">
        <v>4</v>
      </c>
      <c r="F3993" s="38">
        <v>66700</v>
      </c>
      <c r="G3993" s="38" t="s">
        <v>674</v>
      </c>
      <c r="H3993" s="25" t="str">
        <f t="shared" si="128"/>
        <v>平成6年9月14日</v>
      </c>
      <c r="I3993" s="22">
        <f t="shared" si="129"/>
        <v>34591</v>
      </c>
      <c r="J3993" s="1" t="str">
        <f>"00746563"</f>
        <v>00746563</v>
      </c>
      <c r="K3993" s="1" t="str">
        <f>"３４３　　　　　　　　　　　　　　　　　"</f>
        <v>３４３　　　　　　　　　　　　　　　　　</v>
      </c>
      <c r="L3993" s="1"/>
    </row>
    <row r="3994" spans="1:12" ht="18" customHeight="1" x14ac:dyDescent="0.15">
      <c r="A3994" s="25">
        <v>4791</v>
      </c>
      <c r="B3994" s="25" t="s">
        <v>456</v>
      </c>
      <c r="C3994" s="25" t="s">
        <v>457</v>
      </c>
      <c r="D3994" s="25">
        <v>1</v>
      </c>
      <c r="E3994" s="25" t="s">
        <v>4</v>
      </c>
      <c r="F3994" s="38">
        <v>66700</v>
      </c>
      <c r="G3994" s="38" t="s">
        <v>674</v>
      </c>
      <c r="H3994" s="25" t="str">
        <f t="shared" si="128"/>
        <v>平成6年9月14日</v>
      </c>
      <c r="I3994" s="22">
        <f t="shared" si="129"/>
        <v>34591</v>
      </c>
      <c r="J3994" s="1" t="str">
        <f>"00746565"</f>
        <v>00746565</v>
      </c>
      <c r="K3994" s="1" t="str">
        <f>"３４４　　　　　　　　　　　　　　　　　"</f>
        <v>３４４　　　　　　　　　　　　　　　　　</v>
      </c>
      <c r="L3994" s="1"/>
    </row>
    <row r="3995" spans="1:12" ht="18" customHeight="1" x14ac:dyDescent="0.15">
      <c r="A3995" s="25">
        <v>4792</v>
      </c>
      <c r="B3995" s="25" t="s">
        <v>456</v>
      </c>
      <c r="C3995" s="25" t="s">
        <v>457</v>
      </c>
      <c r="D3995" s="25">
        <v>1</v>
      </c>
      <c r="E3995" s="25" t="s">
        <v>4</v>
      </c>
      <c r="F3995" s="38">
        <v>66700</v>
      </c>
      <c r="G3995" s="38" t="s">
        <v>674</v>
      </c>
      <c r="H3995" s="25" t="str">
        <f t="shared" si="128"/>
        <v>平成6年9月14日</v>
      </c>
      <c r="I3995" s="22">
        <f t="shared" si="129"/>
        <v>34591</v>
      </c>
      <c r="J3995" s="1" t="str">
        <f>"00746567"</f>
        <v>00746567</v>
      </c>
      <c r="K3995" s="1" t="str">
        <f>"３４５　　　　　　　　　　　　　　　　　"</f>
        <v>３４５　　　　　　　　　　　　　　　　　</v>
      </c>
      <c r="L3995" s="1"/>
    </row>
    <row r="3996" spans="1:12" ht="18" customHeight="1" x14ac:dyDescent="0.15">
      <c r="A3996" s="25">
        <v>4793</v>
      </c>
      <c r="B3996" s="25" t="s">
        <v>456</v>
      </c>
      <c r="C3996" s="25" t="s">
        <v>457</v>
      </c>
      <c r="D3996" s="25">
        <v>1</v>
      </c>
      <c r="E3996" s="25" t="s">
        <v>4</v>
      </c>
      <c r="F3996" s="38">
        <v>66700</v>
      </c>
      <c r="G3996" s="38" t="s">
        <v>674</v>
      </c>
      <c r="H3996" s="25" t="str">
        <f t="shared" si="128"/>
        <v>平成6年9月14日</v>
      </c>
      <c r="I3996" s="22">
        <f t="shared" si="129"/>
        <v>34591</v>
      </c>
      <c r="J3996" s="1" t="str">
        <f>"00746569"</f>
        <v>00746569</v>
      </c>
      <c r="K3996" s="1" t="str">
        <f>"３４６　　　　　　　　　　　　　　　　　"</f>
        <v>３４６　　　　　　　　　　　　　　　　　</v>
      </c>
      <c r="L3996" s="1"/>
    </row>
    <row r="3997" spans="1:12" ht="18" customHeight="1" x14ac:dyDescent="0.15">
      <c r="A3997" s="25">
        <v>4794</v>
      </c>
      <c r="B3997" s="25" t="s">
        <v>456</v>
      </c>
      <c r="C3997" s="25" t="s">
        <v>458</v>
      </c>
      <c r="D3997" s="25">
        <v>1</v>
      </c>
      <c r="E3997" s="25" t="s">
        <v>4</v>
      </c>
      <c r="F3997" s="38">
        <v>182000</v>
      </c>
      <c r="G3997" s="38" t="s">
        <v>674</v>
      </c>
      <c r="H3997" s="25" t="str">
        <f t="shared" si="128"/>
        <v>平成6年9月14日</v>
      </c>
      <c r="I3997" s="22">
        <f t="shared" si="129"/>
        <v>34591</v>
      </c>
      <c r="J3997" s="1" t="str">
        <f>"00746571"</f>
        <v>00746571</v>
      </c>
      <c r="K3997" s="1" t="str">
        <f>"３４７　　　　　　　　　　　　　　　　　"</f>
        <v>３４７　　　　　　　　　　　　　　　　　</v>
      </c>
      <c r="L3997" s="1"/>
    </row>
    <row r="3998" spans="1:12" ht="18" customHeight="1" x14ac:dyDescent="0.15">
      <c r="A3998" s="25">
        <v>4795</v>
      </c>
      <c r="B3998" s="25" t="s">
        <v>456</v>
      </c>
      <c r="C3998" s="25" t="s">
        <v>458</v>
      </c>
      <c r="D3998" s="25">
        <v>1</v>
      </c>
      <c r="E3998" s="25" t="s">
        <v>4</v>
      </c>
      <c r="F3998" s="38">
        <v>182000</v>
      </c>
      <c r="G3998" s="38" t="s">
        <v>674</v>
      </c>
      <c r="H3998" s="25" t="str">
        <f t="shared" si="128"/>
        <v>平成6年9月14日</v>
      </c>
      <c r="I3998" s="22">
        <f t="shared" si="129"/>
        <v>34591</v>
      </c>
      <c r="J3998" s="1" t="str">
        <f>"00746573"</f>
        <v>00746573</v>
      </c>
      <c r="K3998" s="1" t="str">
        <f>"３４８　　　　　　　　　　　　　　　　　"</f>
        <v>３４８　　　　　　　　　　　　　　　　　</v>
      </c>
      <c r="L3998" s="1"/>
    </row>
    <row r="3999" spans="1:12" ht="18" customHeight="1" x14ac:dyDescent="0.15">
      <c r="A3999" s="25">
        <v>4796</v>
      </c>
      <c r="B3999" s="25" t="s">
        <v>456</v>
      </c>
      <c r="C3999" s="25" t="s">
        <v>458</v>
      </c>
      <c r="D3999" s="25">
        <v>1</v>
      </c>
      <c r="E3999" s="25" t="s">
        <v>4</v>
      </c>
      <c r="F3999" s="38">
        <v>182000</v>
      </c>
      <c r="G3999" s="38" t="s">
        <v>674</v>
      </c>
      <c r="H3999" s="25" t="str">
        <f t="shared" si="128"/>
        <v>平成6年9月14日</v>
      </c>
      <c r="I3999" s="22">
        <f t="shared" si="129"/>
        <v>34591</v>
      </c>
      <c r="J3999" s="1" t="str">
        <f>"00746575"</f>
        <v>00746575</v>
      </c>
      <c r="K3999" s="1" t="str">
        <f>"３４９　　　　　　　　　　　　　　　　　"</f>
        <v>３４９　　　　　　　　　　　　　　　　　</v>
      </c>
      <c r="L3999" s="1"/>
    </row>
    <row r="4000" spans="1:12" ht="18" customHeight="1" x14ac:dyDescent="0.15">
      <c r="A4000" s="25">
        <v>4797</v>
      </c>
      <c r="B4000" s="25" t="s">
        <v>456</v>
      </c>
      <c r="C4000" s="25" t="s">
        <v>458</v>
      </c>
      <c r="D4000" s="25">
        <v>1</v>
      </c>
      <c r="E4000" s="25" t="s">
        <v>4</v>
      </c>
      <c r="F4000" s="38">
        <v>182000</v>
      </c>
      <c r="G4000" s="38" t="s">
        <v>674</v>
      </c>
      <c r="H4000" s="25" t="str">
        <f t="shared" si="128"/>
        <v>平成6年9月14日</v>
      </c>
      <c r="I4000" s="22">
        <f t="shared" si="129"/>
        <v>34591</v>
      </c>
      <c r="J4000" s="1" t="str">
        <f>"00746577"</f>
        <v>00746577</v>
      </c>
      <c r="K4000" s="1" t="str">
        <f>"３５０　　　　　　　　　　　　　　　　　"</f>
        <v>３５０　　　　　　　　　　　　　　　　　</v>
      </c>
      <c r="L4000" s="1"/>
    </row>
    <row r="4001" spans="1:12" ht="18" customHeight="1" x14ac:dyDescent="0.15">
      <c r="A4001" s="25">
        <v>4798</v>
      </c>
      <c r="B4001" s="25" t="s">
        <v>456</v>
      </c>
      <c r="C4001" s="25" t="s">
        <v>459</v>
      </c>
      <c r="D4001" s="25">
        <v>1</v>
      </c>
      <c r="E4001" s="25" t="s">
        <v>4</v>
      </c>
      <c r="F4001" s="38">
        <v>89600</v>
      </c>
      <c r="G4001" s="38" t="s">
        <v>674</v>
      </c>
      <c r="H4001" s="25" t="str">
        <f t="shared" si="128"/>
        <v>平成6年9月14日</v>
      </c>
      <c r="I4001" s="22">
        <f t="shared" si="129"/>
        <v>34591</v>
      </c>
      <c r="J4001" s="1" t="str">
        <f>"00746579"</f>
        <v>00746579</v>
      </c>
      <c r="K4001" s="1" t="str">
        <f>"３５１　　　　　　　　　　　　　　　　　"</f>
        <v>３５１　　　　　　　　　　　　　　　　　</v>
      </c>
      <c r="L4001" s="1"/>
    </row>
    <row r="4002" spans="1:12" ht="18" customHeight="1" x14ac:dyDescent="0.15">
      <c r="A4002" s="11">
        <v>4833</v>
      </c>
      <c r="B4002" s="11" t="s">
        <v>471</v>
      </c>
      <c r="C4002" s="11" t="s">
        <v>474</v>
      </c>
      <c r="D4002" s="11">
        <v>1</v>
      </c>
      <c r="E4002" s="11" t="s">
        <v>4</v>
      </c>
      <c r="F4002" s="12">
        <v>24500</v>
      </c>
      <c r="G4002" s="12">
        <v>24500</v>
      </c>
      <c r="H4002" s="11" t="str">
        <f t="shared" si="128"/>
        <v>平成6年9月14日</v>
      </c>
      <c r="I4002" s="22">
        <f t="shared" si="129"/>
        <v>34591</v>
      </c>
      <c r="J4002" s="1" t="str">
        <f>"00746709"</f>
        <v>00746709</v>
      </c>
      <c r="K4002" s="1" t="str">
        <f>"３２３　　　　　　　　　　　　　　　　　"</f>
        <v>３２３　　　　　　　　　　　　　　　　　</v>
      </c>
      <c r="L4002" s="1"/>
    </row>
    <row r="4003" spans="1:12" ht="18" customHeight="1" x14ac:dyDescent="0.15">
      <c r="A4003" s="11">
        <v>4834</v>
      </c>
      <c r="B4003" s="11" t="s">
        <v>471</v>
      </c>
      <c r="C4003" s="11" t="s">
        <v>474</v>
      </c>
      <c r="D4003" s="11">
        <v>1</v>
      </c>
      <c r="E4003" s="11" t="s">
        <v>4</v>
      </c>
      <c r="F4003" s="12">
        <v>24500</v>
      </c>
      <c r="G4003" s="12">
        <v>24500</v>
      </c>
      <c r="H4003" s="11" t="str">
        <f t="shared" si="128"/>
        <v>平成6年9月14日</v>
      </c>
      <c r="I4003" s="22">
        <f t="shared" si="129"/>
        <v>34591</v>
      </c>
      <c r="J4003" s="1" t="str">
        <f>"00746711"</f>
        <v>00746711</v>
      </c>
      <c r="K4003" s="1" t="str">
        <f>"３２４　　　　　　　　　　　　　　　　　"</f>
        <v>３２４　　　　　　　　　　　　　　　　　</v>
      </c>
      <c r="L4003" s="1"/>
    </row>
    <row r="4004" spans="1:12" ht="18" customHeight="1" x14ac:dyDescent="0.15">
      <c r="A4004" s="11">
        <v>4835</v>
      </c>
      <c r="B4004" s="11" t="s">
        <v>471</v>
      </c>
      <c r="C4004" s="11" t="s">
        <v>474</v>
      </c>
      <c r="D4004" s="11">
        <v>1</v>
      </c>
      <c r="E4004" s="11" t="s">
        <v>4</v>
      </c>
      <c r="F4004" s="12">
        <v>24500</v>
      </c>
      <c r="G4004" s="12">
        <v>24500</v>
      </c>
      <c r="H4004" s="11" t="str">
        <f t="shared" si="128"/>
        <v>平成6年9月14日</v>
      </c>
      <c r="I4004" s="22">
        <f t="shared" si="129"/>
        <v>34591</v>
      </c>
      <c r="J4004" s="1" t="str">
        <f>"00746713"</f>
        <v>00746713</v>
      </c>
      <c r="K4004" s="1" t="str">
        <f>"３２５　　　　　　　　　　　　　　　　　"</f>
        <v>３２５　　　　　　　　　　　　　　　　　</v>
      </c>
      <c r="L4004" s="1"/>
    </row>
    <row r="4005" spans="1:12" ht="18" customHeight="1" x14ac:dyDescent="0.15">
      <c r="A4005" s="11">
        <v>4836</v>
      </c>
      <c r="B4005" s="11" t="s">
        <v>471</v>
      </c>
      <c r="C4005" s="11" t="s">
        <v>474</v>
      </c>
      <c r="D4005" s="11">
        <v>1</v>
      </c>
      <c r="E4005" s="11" t="s">
        <v>4</v>
      </c>
      <c r="F4005" s="12">
        <v>24500</v>
      </c>
      <c r="G4005" s="12">
        <v>24500</v>
      </c>
      <c r="H4005" s="11" t="str">
        <f t="shared" si="128"/>
        <v>平成6年9月14日</v>
      </c>
      <c r="I4005" s="22">
        <f t="shared" si="129"/>
        <v>34591</v>
      </c>
      <c r="J4005" s="1" t="str">
        <f>"00746715"</f>
        <v>00746715</v>
      </c>
      <c r="K4005" s="1" t="str">
        <f>"３２６　　　　　　　　　　　　　　　　　"</f>
        <v>３２６　　　　　　　　　　　　　　　　　</v>
      </c>
      <c r="L4005" s="1"/>
    </row>
    <row r="4006" spans="1:12" ht="18" customHeight="1" x14ac:dyDescent="0.15">
      <c r="A4006" s="11">
        <v>4837</v>
      </c>
      <c r="B4006" s="11" t="s">
        <v>471</v>
      </c>
      <c r="C4006" s="11" t="s">
        <v>474</v>
      </c>
      <c r="D4006" s="11">
        <v>1</v>
      </c>
      <c r="E4006" s="11" t="s">
        <v>4</v>
      </c>
      <c r="F4006" s="12">
        <v>24500</v>
      </c>
      <c r="G4006" s="12">
        <v>24500</v>
      </c>
      <c r="H4006" s="11" t="str">
        <f t="shared" si="128"/>
        <v>平成6年9月14日</v>
      </c>
      <c r="I4006" s="22">
        <f t="shared" si="129"/>
        <v>34591</v>
      </c>
      <c r="J4006" s="1" t="str">
        <f>"00746717"</f>
        <v>00746717</v>
      </c>
      <c r="K4006" s="1" t="str">
        <f>"３２７　　　　　　　　　　　　　　　　　"</f>
        <v>３２７　　　　　　　　　　　　　　　　　</v>
      </c>
      <c r="L4006" s="1"/>
    </row>
    <row r="4007" spans="1:12" ht="18" customHeight="1" x14ac:dyDescent="0.15">
      <c r="A4007" s="11">
        <v>4838</v>
      </c>
      <c r="B4007" s="11" t="s">
        <v>471</v>
      </c>
      <c r="C4007" s="11" t="s">
        <v>474</v>
      </c>
      <c r="D4007" s="11">
        <v>1</v>
      </c>
      <c r="E4007" s="11" t="s">
        <v>4</v>
      </c>
      <c r="F4007" s="12">
        <v>24500</v>
      </c>
      <c r="G4007" s="12">
        <v>24500</v>
      </c>
      <c r="H4007" s="11" t="str">
        <f t="shared" si="128"/>
        <v>平成6年9月14日</v>
      </c>
      <c r="I4007" s="22">
        <f t="shared" si="129"/>
        <v>34591</v>
      </c>
      <c r="J4007" s="1" t="str">
        <f>"00746719"</f>
        <v>00746719</v>
      </c>
      <c r="K4007" s="1" t="str">
        <f>"３２８　　　　　　　　　　　　　　　　　"</f>
        <v>３２８　　　　　　　　　　　　　　　　　</v>
      </c>
      <c r="L4007" s="1"/>
    </row>
    <row r="4008" spans="1:12" ht="18" customHeight="1" x14ac:dyDescent="0.15">
      <c r="A4008" s="11">
        <v>4839</v>
      </c>
      <c r="B4008" s="11" t="s">
        <v>471</v>
      </c>
      <c r="C4008" s="11" t="s">
        <v>474</v>
      </c>
      <c r="D4008" s="11">
        <v>1</v>
      </c>
      <c r="E4008" s="11" t="s">
        <v>4</v>
      </c>
      <c r="F4008" s="12">
        <v>24500</v>
      </c>
      <c r="G4008" s="12">
        <v>24500</v>
      </c>
      <c r="H4008" s="11" t="str">
        <f t="shared" si="128"/>
        <v>平成6年9月14日</v>
      </c>
      <c r="I4008" s="22">
        <f t="shared" si="129"/>
        <v>34591</v>
      </c>
      <c r="J4008" s="1" t="str">
        <f>"00746721"</f>
        <v>00746721</v>
      </c>
      <c r="K4008" s="1" t="str">
        <f>"３２９　　　　　　　　　　　　　　　　　"</f>
        <v>３２９　　　　　　　　　　　　　　　　　</v>
      </c>
      <c r="L4008" s="1"/>
    </row>
    <row r="4009" spans="1:12" ht="18" customHeight="1" x14ac:dyDescent="0.15">
      <c r="A4009" s="11">
        <v>4840</v>
      </c>
      <c r="B4009" s="11" t="s">
        <v>471</v>
      </c>
      <c r="C4009" s="11" t="s">
        <v>474</v>
      </c>
      <c r="D4009" s="11">
        <v>1</v>
      </c>
      <c r="E4009" s="11" t="s">
        <v>4</v>
      </c>
      <c r="F4009" s="12">
        <v>24500</v>
      </c>
      <c r="G4009" s="12">
        <v>24500</v>
      </c>
      <c r="H4009" s="11" t="str">
        <f t="shared" si="128"/>
        <v>平成6年9月14日</v>
      </c>
      <c r="I4009" s="22">
        <f t="shared" si="129"/>
        <v>34591</v>
      </c>
      <c r="J4009" s="1" t="str">
        <f>"00746723"</f>
        <v>00746723</v>
      </c>
      <c r="K4009" s="1" t="str">
        <f>"３３０　　　　　　　　　　　　　　　　　"</f>
        <v>３３０　　　　　　　　　　　　　　　　　</v>
      </c>
      <c r="L4009" s="1"/>
    </row>
    <row r="4010" spans="1:12" ht="18" customHeight="1" x14ac:dyDescent="0.15">
      <c r="A4010" s="11">
        <v>4841</v>
      </c>
      <c r="B4010" s="11" t="s">
        <v>471</v>
      </c>
      <c r="C4010" s="11" t="s">
        <v>474</v>
      </c>
      <c r="D4010" s="11">
        <v>1</v>
      </c>
      <c r="E4010" s="11" t="s">
        <v>4</v>
      </c>
      <c r="F4010" s="12">
        <v>24500</v>
      </c>
      <c r="G4010" s="12">
        <v>24500</v>
      </c>
      <c r="H4010" s="11" t="str">
        <f t="shared" si="128"/>
        <v>平成6年9月14日</v>
      </c>
      <c r="I4010" s="22">
        <f t="shared" si="129"/>
        <v>34591</v>
      </c>
      <c r="J4010" s="1" t="str">
        <f>"00746725"</f>
        <v>00746725</v>
      </c>
      <c r="K4010" s="1" t="str">
        <f>"３３１　　　　　　　　　　　　　　　　　"</f>
        <v>３３１　　　　　　　　　　　　　　　　　</v>
      </c>
      <c r="L4010" s="1"/>
    </row>
    <row r="4011" spans="1:12" ht="18" customHeight="1" x14ac:dyDescent="0.15">
      <c r="A4011" s="11">
        <v>4842</v>
      </c>
      <c r="B4011" s="11" t="s">
        <v>471</v>
      </c>
      <c r="C4011" s="11" t="s">
        <v>474</v>
      </c>
      <c r="D4011" s="11">
        <v>1</v>
      </c>
      <c r="E4011" s="11" t="s">
        <v>4</v>
      </c>
      <c r="F4011" s="12">
        <v>24500</v>
      </c>
      <c r="G4011" s="12">
        <v>24500</v>
      </c>
      <c r="H4011" s="11" t="str">
        <f t="shared" si="128"/>
        <v>平成6年9月14日</v>
      </c>
      <c r="I4011" s="22">
        <f t="shared" si="129"/>
        <v>34591</v>
      </c>
      <c r="J4011" s="1" t="str">
        <f>"00746727"</f>
        <v>00746727</v>
      </c>
      <c r="K4011" s="1" t="str">
        <f>"３３２　　　　　　　　　　　　　　　　　"</f>
        <v>３３２　　　　　　　　　　　　　　　　　</v>
      </c>
      <c r="L4011" s="1"/>
    </row>
    <row r="4012" spans="1:12" ht="18" customHeight="1" x14ac:dyDescent="0.15">
      <c r="A4012" s="1">
        <v>4942</v>
      </c>
      <c r="B4012" s="11" t="s">
        <v>502</v>
      </c>
      <c r="C4012" s="11" t="s">
        <v>515</v>
      </c>
      <c r="D4012" s="11">
        <v>1</v>
      </c>
      <c r="E4012" s="11" t="s">
        <v>61</v>
      </c>
      <c r="F4012" s="12">
        <v>149000</v>
      </c>
      <c r="G4012" s="12">
        <v>149000</v>
      </c>
      <c r="H4012" s="11" t="str">
        <f t="shared" si="128"/>
        <v>平成6年9月14日</v>
      </c>
      <c r="I4012" s="22">
        <f t="shared" si="129"/>
        <v>34591</v>
      </c>
      <c r="J4012" s="1" t="str">
        <f>"00747097"</f>
        <v>00747097</v>
      </c>
      <c r="K4012" s="1" t="str">
        <f>"３８４　　　　　　　　　　　　　　　　　"</f>
        <v>３８４　　　　　　　　　　　　　　　　　</v>
      </c>
      <c r="L4012" s="1"/>
    </row>
    <row r="4013" spans="1:12" ht="18" customHeight="1" x14ac:dyDescent="0.15">
      <c r="A4013" s="1">
        <v>4943</v>
      </c>
      <c r="B4013" s="11" t="s">
        <v>502</v>
      </c>
      <c r="C4013" s="11" t="s">
        <v>515</v>
      </c>
      <c r="D4013" s="11">
        <v>1</v>
      </c>
      <c r="E4013" s="11" t="s">
        <v>61</v>
      </c>
      <c r="F4013" s="12">
        <v>149000</v>
      </c>
      <c r="G4013" s="12">
        <v>149000</v>
      </c>
      <c r="H4013" s="11" t="str">
        <f t="shared" si="128"/>
        <v>平成6年9月14日</v>
      </c>
      <c r="I4013" s="22">
        <f t="shared" si="129"/>
        <v>34591</v>
      </c>
      <c r="J4013" s="1" t="str">
        <f>"00747099"</f>
        <v>00747099</v>
      </c>
      <c r="K4013" s="1" t="str">
        <f>"３８５　　　　　　　　　　　　　　　　　"</f>
        <v>３８５　　　　　　　　　　　　　　　　　</v>
      </c>
      <c r="L4013" s="1"/>
    </row>
    <row r="4014" spans="1:12" ht="18" customHeight="1" x14ac:dyDescent="0.15">
      <c r="A4014" s="1">
        <v>4944</v>
      </c>
      <c r="B4014" s="11" t="s">
        <v>502</v>
      </c>
      <c r="C4014" s="11" t="s">
        <v>515</v>
      </c>
      <c r="D4014" s="11">
        <v>1</v>
      </c>
      <c r="E4014" s="11" t="s">
        <v>61</v>
      </c>
      <c r="F4014" s="12">
        <v>149000</v>
      </c>
      <c r="G4014" s="12">
        <v>149000</v>
      </c>
      <c r="H4014" s="11" t="str">
        <f t="shared" si="128"/>
        <v>平成6年9月14日</v>
      </c>
      <c r="I4014" s="22">
        <f t="shared" si="129"/>
        <v>34591</v>
      </c>
      <c r="J4014" s="1" t="str">
        <f>"00747101"</f>
        <v>00747101</v>
      </c>
      <c r="K4014" s="1" t="str">
        <f>"３８６　　　　　　　　　　　　　　　　　"</f>
        <v>３８６　　　　　　　　　　　　　　　　　</v>
      </c>
      <c r="L4014" s="1"/>
    </row>
    <row r="4015" spans="1:12" ht="18" customHeight="1" x14ac:dyDescent="0.15">
      <c r="A4015" s="1">
        <v>4945</v>
      </c>
      <c r="B4015" s="11" t="s">
        <v>502</v>
      </c>
      <c r="C4015" s="11" t="s">
        <v>515</v>
      </c>
      <c r="D4015" s="11">
        <v>1</v>
      </c>
      <c r="E4015" s="11" t="s">
        <v>61</v>
      </c>
      <c r="F4015" s="12">
        <v>149000</v>
      </c>
      <c r="G4015" s="12">
        <v>149000</v>
      </c>
      <c r="H4015" s="11" t="str">
        <f t="shared" si="128"/>
        <v>平成6年9月14日</v>
      </c>
      <c r="I4015" s="22">
        <f t="shared" si="129"/>
        <v>34591</v>
      </c>
      <c r="J4015" s="1" t="str">
        <f>"00747103"</f>
        <v>00747103</v>
      </c>
      <c r="K4015" s="1" t="str">
        <f>"３８７　　　　　　　　　　　　　　　　　"</f>
        <v>３８７　　　　　　　　　　　　　　　　　</v>
      </c>
      <c r="L4015" s="1"/>
    </row>
    <row r="4016" spans="1:12" ht="18" customHeight="1" x14ac:dyDescent="0.15">
      <c r="A4016" s="1">
        <v>4946</v>
      </c>
      <c r="B4016" s="11" t="s">
        <v>502</v>
      </c>
      <c r="C4016" s="11" t="s">
        <v>515</v>
      </c>
      <c r="D4016" s="11">
        <v>1</v>
      </c>
      <c r="E4016" s="11" t="s">
        <v>61</v>
      </c>
      <c r="F4016" s="12">
        <v>149000</v>
      </c>
      <c r="G4016" s="12">
        <v>149000</v>
      </c>
      <c r="H4016" s="11" t="str">
        <f t="shared" si="128"/>
        <v>平成6年9月14日</v>
      </c>
      <c r="I4016" s="22">
        <f t="shared" si="129"/>
        <v>34591</v>
      </c>
      <c r="J4016" s="1" t="str">
        <f>"00747105"</f>
        <v>00747105</v>
      </c>
      <c r="K4016" s="1" t="str">
        <f>"３８８　　　　　　　　　　　　　　　　　"</f>
        <v>３８８　　　　　　　　　　　　　　　　　</v>
      </c>
      <c r="L4016" s="1"/>
    </row>
    <row r="4017" spans="1:12" ht="18" customHeight="1" x14ac:dyDescent="0.15">
      <c r="A4017" s="1">
        <v>4947</v>
      </c>
      <c r="B4017" s="11" t="s">
        <v>502</v>
      </c>
      <c r="C4017" s="11" t="s">
        <v>515</v>
      </c>
      <c r="D4017" s="11">
        <v>1</v>
      </c>
      <c r="E4017" s="11" t="s">
        <v>61</v>
      </c>
      <c r="F4017" s="12">
        <v>149000</v>
      </c>
      <c r="G4017" s="12">
        <v>149000</v>
      </c>
      <c r="H4017" s="11" t="str">
        <f t="shared" si="128"/>
        <v>平成6年9月14日</v>
      </c>
      <c r="I4017" s="22">
        <f t="shared" si="129"/>
        <v>34591</v>
      </c>
      <c r="J4017" s="1" t="str">
        <f>"00747107"</f>
        <v>00747107</v>
      </c>
      <c r="K4017" s="1" t="str">
        <f>"３８９　　　　　　　　　　　　　　　　　"</f>
        <v>３８９　　　　　　　　　　　　　　　　　</v>
      </c>
      <c r="L4017" s="1"/>
    </row>
    <row r="4018" spans="1:12" ht="18" customHeight="1" x14ac:dyDescent="0.15">
      <c r="A4018" s="1">
        <v>4948</v>
      </c>
      <c r="B4018" s="11" t="s">
        <v>502</v>
      </c>
      <c r="C4018" s="11" t="s">
        <v>515</v>
      </c>
      <c r="D4018" s="11">
        <v>1</v>
      </c>
      <c r="E4018" s="11" t="s">
        <v>61</v>
      </c>
      <c r="F4018" s="12">
        <v>149000</v>
      </c>
      <c r="G4018" s="12">
        <v>149000</v>
      </c>
      <c r="H4018" s="11" t="str">
        <f t="shared" si="128"/>
        <v>平成6年9月14日</v>
      </c>
      <c r="I4018" s="22">
        <f t="shared" si="129"/>
        <v>34591</v>
      </c>
      <c r="J4018" s="1" t="str">
        <f>"00747109"</f>
        <v>00747109</v>
      </c>
      <c r="K4018" s="1" t="str">
        <f>"３９０　　　　　　　　　　　　　　　　　"</f>
        <v>３９０　　　　　　　　　　　　　　　　　</v>
      </c>
      <c r="L4018" s="1"/>
    </row>
    <row r="4019" spans="1:12" ht="18" customHeight="1" x14ac:dyDescent="0.15">
      <c r="A4019" s="1">
        <v>4949</v>
      </c>
      <c r="B4019" s="11" t="s">
        <v>502</v>
      </c>
      <c r="C4019" s="11" t="s">
        <v>515</v>
      </c>
      <c r="D4019" s="11">
        <v>1</v>
      </c>
      <c r="E4019" s="11" t="s">
        <v>61</v>
      </c>
      <c r="F4019" s="12">
        <v>149000</v>
      </c>
      <c r="G4019" s="12">
        <v>149000</v>
      </c>
      <c r="H4019" s="11" t="str">
        <f t="shared" si="128"/>
        <v>平成6年9月14日</v>
      </c>
      <c r="I4019" s="22">
        <f t="shared" si="129"/>
        <v>34591</v>
      </c>
      <c r="J4019" s="1" t="str">
        <f>"00747111"</f>
        <v>00747111</v>
      </c>
      <c r="K4019" s="1" t="str">
        <f>"３９１　　　　　　　　　　　　　　　　　"</f>
        <v>３９１　　　　　　　　　　　　　　　　　</v>
      </c>
      <c r="L4019" s="1"/>
    </row>
    <row r="4020" spans="1:12" ht="18" customHeight="1" x14ac:dyDescent="0.15">
      <c r="A4020" s="1">
        <v>4950</v>
      </c>
      <c r="B4020" s="11" t="s">
        <v>502</v>
      </c>
      <c r="C4020" s="11" t="s">
        <v>515</v>
      </c>
      <c r="D4020" s="11">
        <v>1</v>
      </c>
      <c r="E4020" s="11" t="s">
        <v>61</v>
      </c>
      <c r="F4020" s="12">
        <v>149000</v>
      </c>
      <c r="G4020" s="12">
        <v>149000</v>
      </c>
      <c r="H4020" s="11" t="str">
        <f t="shared" si="128"/>
        <v>平成6年9月14日</v>
      </c>
      <c r="I4020" s="22">
        <f t="shared" si="129"/>
        <v>34591</v>
      </c>
      <c r="J4020" s="1" t="str">
        <f>"00747113"</f>
        <v>00747113</v>
      </c>
      <c r="K4020" s="1" t="str">
        <f>"３９２　　　　　　　　　　　　　　　　　"</f>
        <v>３９２　　　　　　　　　　　　　　　　　</v>
      </c>
      <c r="L4020" s="1"/>
    </row>
    <row r="4021" spans="1:12" ht="18" customHeight="1" x14ac:dyDescent="0.15">
      <c r="A4021" s="1">
        <v>4951</v>
      </c>
      <c r="B4021" s="11" t="s">
        <v>502</v>
      </c>
      <c r="C4021" s="11" t="s">
        <v>515</v>
      </c>
      <c r="D4021" s="11">
        <v>1</v>
      </c>
      <c r="E4021" s="11" t="s">
        <v>61</v>
      </c>
      <c r="F4021" s="12">
        <v>149000</v>
      </c>
      <c r="G4021" s="12">
        <v>149000</v>
      </c>
      <c r="H4021" s="11" t="str">
        <f t="shared" si="128"/>
        <v>平成6年9月14日</v>
      </c>
      <c r="I4021" s="22">
        <f t="shared" si="129"/>
        <v>34591</v>
      </c>
      <c r="J4021" s="1" t="str">
        <f>"00747115"</f>
        <v>00747115</v>
      </c>
      <c r="K4021" s="1" t="str">
        <f>"３９３　　　　　　　　　　　　　　　　　"</f>
        <v>３９３　　　　　　　　　　　　　　　　　</v>
      </c>
      <c r="L4021" s="1"/>
    </row>
    <row r="4022" spans="1:12" ht="18" customHeight="1" x14ac:dyDescent="0.15">
      <c r="A4022" s="1">
        <v>4952</v>
      </c>
      <c r="B4022" s="11" t="s">
        <v>502</v>
      </c>
      <c r="C4022" s="11" t="s">
        <v>515</v>
      </c>
      <c r="D4022" s="11">
        <v>1</v>
      </c>
      <c r="E4022" s="11" t="s">
        <v>61</v>
      </c>
      <c r="F4022" s="12">
        <v>149000</v>
      </c>
      <c r="G4022" s="12">
        <v>149000</v>
      </c>
      <c r="H4022" s="11" t="str">
        <f t="shared" si="128"/>
        <v>平成6年9月14日</v>
      </c>
      <c r="I4022" s="22">
        <f t="shared" si="129"/>
        <v>34591</v>
      </c>
      <c r="J4022" s="1" t="str">
        <f>"00747117"</f>
        <v>00747117</v>
      </c>
      <c r="K4022" s="1" t="str">
        <f>"３９４　　　　　　　　　　　　　　　　　"</f>
        <v>３９４　　　　　　　　　　　　　　　　　</v>
      </c>
      <c r="L4022" s="1"/>
    </row>
    <row r="4023" spans="1:12" ht="18" customHeight="1" x14ac:dyDescent="0.15">
      <c r="A4023" s="1">
        <v>4953</v>
      </c>
      <c r="B4023" s="11" t="s">
        <v>502</v>
      </c>
      <c r="C4023" s="11" t="s">
        <v>515</v>
      </c>
      <c r="D4023" s="11">
        <v>1</v>
      </c>
      <c r="E4023" s="11" t="s">
        <v>61</v>
      </c>
      <c r="F4023" s="12">
        <v>149000</v>
      </c>
      <c r="G4023" s="12">
        <v>149000</v>
      </c>
      <c r="H4023" s="11" t="str">
        <f t="shared" si="128"/>
        <v>平成6年9月14日</v>
      </c>
      <c r="I4023" s="22">
        <f t="shared" si="129"/>
        <v>34591</v>
      </c>
      <c r="J4023" s="1" t="str">
        <f>"00747119"</f>
        <v>00747119</v>
      </c>
      <c r="K4023" s="1" t="str">
        <f>"３９５　　　　　　　　　　　　　　　　　"</f>
        <v>３９５　　　　　　　　　　　　　　　　　</v>
      </c>
      <c r="L4023" s="1"/>
    </row>
    <row r="4024" spans="1:12" ht="18" customHeight="1" x14ac:dyDescent="0.15">
      <c r="A4024" s="1">
        <v>4954</v>
      </c>
      <c r="B4024" s="11" t="s">
        <v>502</v>
      </c>
      <c r="C4024" s="11" t="s">
        <v>515</v>
      </c>
      <c r="D4024" s="11">
        <v>1</v>
      </c>
      <c r="E4024" s="11" t="s">
        <v>61</v>
      </c>
      <c r="F4024" s="12">
        <v>149000</v>
      </c>
      <c r="G4024" s="12">
        <v>149000</v>
      </c>
      <c r="H4024" s="11" t="str">
        <f t="shared" si="128"/>
        <v>平成6年9月14日</v>
      </c>
      <c r="I4024" s="22">
        <f t="shared" si="129"/>
        <v>34591</v>
      </c>
      <c r="J4024" s="1" t="str">
        <f>"00747121"</f>
        <v>00747121</v>
      </c>
      <c r="K4024" s="1" t="str">
        <f>"３９６　　　　　　　　　　　　　　　　　"</f>
        <v>３９６　　　　　　　　　　　　　　　　　</v>
      </c>
      <c r="L4024" s="1"/>
    </row>
    <row r="4025" spans="1:12" ht="18" customHeight="1" x14ac:dyDescent="0.15">
      <c r="A4025" s="1">
        <v>4955</v>
      </c>
      <c r="B4025" s="11" t="s">
        <v>502</v>
      </c>
      <c r="C4025" s="11" t="s">
        <v>516</v>
      </c>
      <c r="D4025" s="11">
        <v>1</v>
      </c>
      <c r="E4025" s="11" t="s">
        <v>61</v>
      </c>
      <c r="F4025" s="12">
        <v>64700</v>
      </c>
      <c r="G4025" s="12">
        <v>64700</v>
      </c>
      <c r="H4025" s="11" t="str">
        <f t="shared" si="128"/>
        <v>平成6年9月14日</v>
      </c>
      <c r="I4025" s="22">
        <f t="shared" si="129"/>
        <v>34591</v>
      </c>
      <c r="J4025" s="1" t="str">
        <f>"00747123"</f>
        <v>00747123</v>
      </c>
      <c r="K4025" s="1" t="str">
        <f>"３９７　　　　　　　　　　　　　　　　　"</f>
        <v>３９７　　　　　　　　　　　　　　　　　</v>
      </c>
      <c r="L4025" s="1"/>
    </row>
    <row r="4026" spans="1:12" ht="18" customHeight="1" x14ac:dyDescent="0.15">
      <c r="A4026" s="1">
        <v>4956</v>
      </c>
      <c r="B4026" s="11" t="s">
        <v>502</v>
      </c>
      <c r="C4026" s="11" t="s">
        <v>516</v>
      </c>
      <c r="D4026" s="11">
        <v>1</v>
      </c>
      <c r="E4026" s="11" t="s">
        <v>61</v>
      </c>
      <c r="F4026" s="12">
        <v>64700</v>
      </c>
      <c r="G4026" s="12">
        <v>64700</v>
      </c>
      <c r="H4026" s="11" t="str">
        <f t="shared" si="128"/>
        <v>平成6年9月14日</v>
      </c>
      <c r="I4026" s="22">
        <f t="shared" si="129"/>
        <v>34591</v>
      </c>
      <c r="J4026" s="1" t="str">
        <f>"00747125"</f>
        <v>00747125</v>
      </c>
      <c r="K4026" s="1" t="str">
        <f>"３９８　　　　　　　　　　　　　　　　　"</f>
        <v>３９８　　　　　　　　　　　　　　　　　</v>
      </c>
      <c r="L4026" s="1"/>
    </row>
    <row r="4027" spans="1:12" ht="18" customHeight="1" x14ac:dyDescent="0.15">
      <c r="A4027" s="1">
        <v>4957</v>
      </c>
      <c r="B4027" s="11" t="s">
        <v>502</v>
      </c>
      <c r="C4027" s="11" t="s">
        <v>516</v>
      </c>
      <c r="D4027" s="11">
        <v>1</v>
      </c>
      <c r="E4027" s="11" t="s">
        <v>61</v>
      </c>
      <c r="F4027" s="12">
        <v>64700</v>
      </c>
      <c r="G4027" s="12">
        <v>64700</v>
      </c>
      <c r="H4027" s="11" t="str">
        <f t="shared" si="128"/>
        <v>平成6年9月14日</v>
      </c>
      <c r="I4027" s="22">
        <f t="shared" si="129"/>
        <v>34591</v>
      </c>
      <c r="J4027" s="1" t="str">
        <f>"00747127"</f>
        <v>00747127</v>
      </c>
      <c r="K4027" s="1" t="str">
        <f>"３９９　　　　　　　　　　　　　　　　　"</f>
        <v>３９９　　　　　　　　　　　　　　　　　</v>
      </c>
      <c r="L4027" s="1"/>
    </row>
    <row r="4028" spans="1:12" ht="18" customHeight="1" x14ac:dyDescent="0.15">
      <c r="A4028" s="1">
        <v>4958</v>
      </c>
      <c r="B4028" s="11" t="s">
        <v>502</v>
      </c>
      <c r="C4028" s="11" t="s">
        <v>516</v>
      </c>
      <c r="D4028" s="11">
        <v>1</v>
      </c>
      <c r="E4028" s="11" t="s">
        <v>61</v>
      </c>
      <c r="F4028" s="12">
        <v>64700</v>
      </c>
      <c r="G4028" s="12">
        <v>64700</v>
      </c>
      <c r="H4028" s="11" t="str">
        <f t="shared" si="128"/>
        <v>平成6年9月14日</v>
      </c>
      <c r="I4028" s="22">
        <f t="shared" si="129"/>
        <v>34591</v>
      </c>
      <c r="J4028" s="1" t="str">
        <f>"00747129"</f>
        <v>00747129</v>
      </c>
      <c r="K4028" s="1" t="str">
        <f>"４００　　　　　　　　　　　　　　　　　"</f>
        <v>４００　　　　　　　　　　　　　　　　　</v>
      </c>
      <c r="L4028" s="1"/>
    </row>
    <row r="4029" spans="1:12" ht="18" customHeight="1" x14ac:dyDescent="0.15">
      <c r="A4029" s="1">
        <v>4959</v>
      </c>
      <c r="B4029" s="11" t="s">
        <v>502</v>
      </c>
      <c r="C4029" s="11" t="s">
        <v>516</v>
      </c>
      <c r="D4029" s="11">
        <v>1</v>
      </c>
      <c r="E4029" s="11" t="s">
        <v>61</v>
      </c>
      <c r="F4029" s="12">
        <v>64700</v>
      </c>
      <c r="G4029" s="12">
        <v>64700</v>
      </c>
      <c r="H4029" s="11" t="str">
        <f t="shared" si="128"/>
        <v>平成6年9月14日</v>
      </c>
      <c r="I4029" s="22">
        <f t="shared" si="129"/>
        <v>34591</v>
      </c>
      <c r="J4029" s="1" t="str">
        <f>"00747131"</f>
        <v>00747131</v>
      </c>
      <c r="K4029" s="1" t="str">
        <f>"４０１　　　　　　　　　　　　　　　　　"</f>
        <v>４０１　　　　　　　　　　　　　　　　　</v>
      </c>
      <c r="L4029" s="1"/>
    </row>
    <row r="4030" spans="1:12" ht="18" customHeight="1" x14ac:dyDescent="0.15">
      <c r="A4030" s="1">
        <v>4960</v>
      </c>
      <c r="B4030" s="11" t="s">
        <v>502</v>
      </c>
      <c r="C4030" s="11" t="s">
        <v>516</v>
      </c>
      <c r="D4030" s="11">
        <v>1</v>
      </c>
      <c r="E4030" s="11" t="s">
        <v>61</v>
      </c>
      <c r="F4030" s="12">
        <v>64700</v>
      </c>
      <c r="G4030" s="12">
        <v>64700</v>
      </c>
      <c r="H4030" s="11" t="str">
        <f t="shared" si="128"/>
        <v>平成6年9月14日</v>
      </c>
      <c r="I4030" s="22">
        <f t="shared" si="129"/>
        <v>34591</v>
      </c>
      <c r="J4030" s="1" t="str">
        <f>"00747133"</f>
        <v>00747133</v>
      </c>
      <c r="K4030" s="1" t="str">
        <f>"４０２　　　　　　　　　　　　　　　　　"</f>
        <v>４０２　　　　　　　　　　　　　　　　　</v>
      </c>
      <c r="L4030" s="1"/>
    </row>
    <row r="4031" spans="1:12" ht="18" customHeight="1" x14ac:dyDescent="0.15">
      <c r="A4031" s="1">
        <v>4961</v>
      </c>
      <c r="B4031" s="11" t="s">
        <v>502</v>
      </c>
      <c r="C4031" s="11" t="s">
        <v>516</v>
      </c>
      <c r="D4031" s="11">
        <v>1</v>
      </c>
      <c r="E4031" s="11" t="s">
        <v>61</v>
      </c>
      <c r="F4031" s="12">
        <v>64700</v>
      </c>
      <c r="G4031" s="12">
        <v>64700</v>
      </c>
      <c r="H4031" s="11" t="str">
        <f t="shared" si="128"/>
        <v>平成6年9月14日</v>
      </c>
      <c r="I4031" s="22">
        <f t="shared" si="129"/>
        <v>34591</v>
      </c>
      <c r="J4031" s="1" t="str">
        <f>"00747135"</f>
        <v>00747135</v>
      </c>
      <c r="K4031" s="1" t="str">
        <f>"４０３　　　　　　　　　　　　　　　　　"</f>
        <v>４０３　　　　　　　　　　　　　　　　　</v>
      </c>
      <c r="L4031" s="1"/>
    </row>
    <row r="4032" spans="1:12" ht="18" customHeight="1" x14ac:dyDescent="0.15">
      <c r="A4032" s="1">
        <v>4962</v>
      </c>
      <c r="B4032" s="11" t="s">
        <v>502</v>
      </c>
      <c r="C4032" s="11" t="s">
        <v>516</v>
      </c>
      <c r="D4032" s="11">
        <v>1</v>
      </c>
      <c r="E4032" s="11" t="s">
        <v>61</v>
      </c>
      <c r="F4032" s="12">
        <v>64700</v>
      </c>
      <c r="G4032" s="12">
        <v>64700</v>
      </c>
      <c r="H4032" s="11" t="str">
        <f t="shared" si="128"/>
        <v>平成6年9月14日</v>
      </c>
      <c r="I4032" s="22">
        <f t="shared" si="129"/>
        <v>34591</v>
      </c>
      <c r="J4032" s="1" t="str">
        <f>"00747137"</f>
        <v>00747137</v>
      </c>
      <c r="K4032" s="1" t="str">
        <f>"４０４　　　　　　　　　　　　　　　　　"</f>
        <v>４０４　　　　　　　　　　　　　　　　　</v>
      </c>
      <c r="L4032" s="1"/>
    </row>
    <row r="4033" spans="1:12" ht="18" customHeight="1" x14ac:dyDescent="0.15">
      <c r="A4033" s="1">
        <v>4963</v>
      </c>
      <c r="B4033" s="11" t="s">
        <v>502</v>
      </c>
      <c r="C4033" s="11" t="s">
        <v>516</v>
      </c>
      <c r="D4033" s="11">
        <v>1</v>
      </c>
      <c r="E4033" s="11" t="s">
        <v>61</v>
      </c>
      <c r="F4033" s="12">
        <v>64700</v>
      </c>
      <c r="G4033" s="12">
        <v>64700</v>
      </c>
      <c r="H4033" s="11" t="str">
        <f t="shared" si="128"/>
        <v>平成6年9月14日</v>
      </c>
      <c r="I4033" s="22">
        <f t="shared" si="129"/>
        <v>34591</v>
      </c>
      <c r="J4033" s="1" t="str">
        <f>"00747139"</f>
        <v>00747139</v>
      </c>
      <c r="K4033" s="1" t="str">
        <f>"４０５　　　　　　　　　　　　　　　　　"</f>
        <v>４０５　　　　　　　　　　　　　　　　　</v>
      </c>
      <c r="L4033" s="1"/>
    </row>
    <row r="4034" spans="1:12" ht="18" customHeight="1" x14ac:dyDescent="0.15">
      <c r="A4034" s="1">
        <v>4964</v>
      </c>
      <c r="B4034" s="11" t="s">
        <v>502</v>
      </c>
      <c r="C4034" s="11" t="s">
        <v>517</v>
      </c>
      <c r="D4034" s="11">
        <v>1</v>
      </c>
      <c r="E4034" s="11" t="s">
        <v>61</v>
      </c>
      <c r="F4034" s="12">
        <v>20394</v>
      </c>
      <c r="G4034" s="12">
        <v>20394</v>
      </c>
      <c r="H4034" s="11" t="str">
        <f t="shared" si="128"/>
        <v>平成6年9月14日</v>
      </c>
      <c r="I4034" s="22">
        <f t="shared" si="129"/>
        <v>34591</v>
      </c>
      <c r="J4034" s="1" t="str">
        <f>"00747141"</f>
        <v>00747141</v>
      </c>
      <c r="K4034" s="1" t="str">
        <f>"４０６　　　　　　　　　　　　　　　　　"</f>
        <v>４０６　　　　　　　　　　　　　　　　　</v>
      </c>
      <c r="L4034" s="1"/>
    </row>
    <row r="4035" spans="1:12" ht="18" customHeight="1" x14ac:dyDescent="0.15">
      <c r="A4035" s="1">
        <v>5035</v>
      </c>
      <c r="B4035" s="11" t="s">
        <v>520</v>
      </c>
      <c r="C4035" s="11" t="s">
        <v>522</v>
      </c>
      <c r="D4035" s="11">
        <v>1</v>
      </c>
      <c r="E4035" s="11" t="s">
        <v>21</v>
      </c>
      <c r="F4035" s="12">
        <v>270375</v>
      </c>
      <c r="G4035" s="12">
        <v>270375</v>
      </c>
      <c r="H4035" s="11" t="str">
        <f t="shared" si="128"/>
        <v>平成6年9月14日</v>
      </c>
      <c r="I4035" s="22">
        <f t="shared" si="129"/>
        <v>34591</v>
      </c>
      <c r="J4035" s="1" t="str">
        <f>"00747305"</f>
        <v>00747305</v>
      </c>
      <c r="K4035" s="1" t="str">
        <f>"３３０　　　　　　　　　　　　　　　　　"</f>
        <v>３３０　　　　　　　　　　　　　　　　　</v>
      </c>
      <c r="L4035" s="1"/>
    </row>
    <row r="4036" spans="1:12" ht="18" customHeight="1" x14ac:dyDescent="0.15">
      <c r="A4036" s="1">
        <v>5036</v>
      </c>
      <c r="B4036" s="11" t="s">
        <v>520</v>
      </c>
      <c r="C4036" s="11" t="s">
        <v>522</v>
      </c>
      <c r="D4036" s="11">
        <v>1</v>
      </c>
      <c r="E4036" s="11" t="s">
        <v>21</v>
      </c>
      <c r="F4036" s="12">
        <v>270375</v>
      </c>
      <c r="G4036" s="12">
        <v>270375</v>
      </c>
      <c r="H4036" s="11" t="str">
        <f t="shared" si="128"/>
        <v>平成6年9月14日</v>
      </c>
      <c r="I4036" s="22">
        <f t="shared" si="129"/>
        <v>34591</v>
      </c>
      <c r="J4036" s="1" t="str">
        <f>"00747307"</f>
        <v>00747307</v>
      </c>
      <c r="K4036" s="1" t="str">
        <f>"３３１　　　　　　　　　　　　　　　　　"</f>
        <v>３３１　　　　　　　　　　　　　　　　　</v>
      </c>
      <c r="L4036" s="1"/>
    </row>
    <row r="4037" spans="1:12" ht="18" customHeight="1" x14ac:dyDescent="0.15">
      <c r="A4037" s="1">
        <v>5037</v>
      </c>
      <c r="B4037" s="11" t="s">
        <v>520</v>
      </c>
      <c r="C4037" s="11" t="s">
        <v>522</v>
      </c>
      <c r="D4037" s="11">
        <v>1</v>
      </c>
      <c r="E4037" s="11" t="s">
        <v>21</v>
      </c>
      <c r="F4037" s="12">
        <v>270375</v>
      </c>
      <c r="G4037" s="12">
        <v>270375</v>
      </c>
      <c r="H4037" s="11" t="str">
        <f t="shared" si="128"/>
        <v>平成6年9月14日</v>
      </c>
      <c r="I4037" s="22">
        <f t="shared" si="129"/>
        <v>34591</v>
      </c>
      <c r="J4037" s="1" t="str">
        <f>"00747309"</f>
        <v>00747309</v>
      </c>
      <c r="K4037" s="1" t="str">
        <f>"３３２　　　　　　　　　　　　　　　　　"</f>
        <v>３３２　　　　　　　　　　　　　　　　　</v>
      </c>
      <c r="L4037" s="1"/>
    </row>
    <row r="4038" spans="1:12" ht="18" customHeight="1" x14ac:dyDescent="0.15">
      <c r="A4038" s="1">
        <v>5038</v>
      </c>
      <c r="B4038" s="11" t="s">
        <v>520</v>
      </c>
      <c r="C4038" s="11" t="s">
        <v>522</v>
      </c>
      <c r="D4038" s="11">
        <v>1</v>
      </c>
      <c r="E4038" s="11" t="s">
        <v>21</v>
      </c>
      <c r="F4038" s="12">
        <v>270375</v>
      </c>
      <c r="G4038" s="12">
        <v>270375</v>
      </c>
      <c r="H4038" s="11" t="str">
        <f t="shared" si="128"/>
        <v>平成6年9月14日</v>
      </c>
      <c r="I4038" s="22">
        <f t="shared" si="129"/>
        <v>34591</v>
      </c>
      <c r="J4038" s="1" t="str">
        <f>"00747311"</f>
        <v>00747311</v>
      </c>
      <c r="K4038" s="1" t="str">
        <f>"３３３　　　　　　　　　　　　　　　　　"</f>
        <v>３３３　　　　　　　　　　　　　　　　　</v>
      </c>
      <c r="L4038" s="1"/>
    </row>
    <row r="4039" spans="1:12" ht="18" customHeight="1" x14ac:dyDescent="0.15">
      <c r="A4039" s="1">
        <v>5039</v>
      </c>
      <c r="B4039" s="11" t="s">
        <v>520</v>
      </c>
      <c r="C4039" s="11" t="s">
        <v>522</v>
      </c>
      <c r="D4039" s="11">
        <v>1</v>
      </c>
      <c r="E4039" s="11" t="s">
        <v>21</v>
      </c>
      <c r="F4039" s="12">
        <v>270375</v>
      </c>
      <c r="G4039" s="12">
        <v>270375</v>
      </c>
      <c r="H4039" s="11" t="str">
        <f t="shared" si="128"/>
        <v>平成6年9月14日</v>
      </c>
      <c r="I4039" s="22">
        <f t="shared" si="129"/>
        <v>34591</v>
      </c>
      <c r="J4039" s="1" t="str">
        <f>"00747313"</f>
        <v>00747313</v>
      </c>
      <c r="K4039" s="1" t="str">
        <f>"３３４　　　　　　　　　　　　　　　　　"</f>
        <v>３３４　　　　　　　　　　　　　　　　　</v>
      </c>
      <c r="L4039" s="1"/>
    </row>
    <row r="4040" spans="1:12" ht="18" customHeight="1" x14ac:dyDescent="0.15">
      <c r="A4040" s="1">
        <v>5040</v>
      </c>
      <c r="B4040" s="11" t="s">
        <v>520</v>
      </c>
      <c r="C4040" s="11" t="s">
        <v>522</v>
      </c>
      <c r="D4040" s="11">
        <v>1</v>
      </c>
      <c r="E4040" s="11" t="s">
        <v>21</v>
      </c>
      <c r="F4040" s="12">
        <v>270375</v>
      </c>
      <c r="G4040" s="12">
        <v>270375</v>
      </c>
      <c r="H4040" s="11" t="str">
        <f t="shared" si="128"/>
        <v>平成6年9月14日</v>
      </c>
      <c r="I4040" s="22">
        <f t="shared" si="129"/>
        <v>34591</v>
      </c>
      <c r="J4040" s="1" t="str">
        <f>"00747315"</f>
        <v>00747315</v>
      </c>
      <c r="K4040" s="1" t="str">
        <f>"３３５　　　　　　　　　　　　　　　　　"</f>
        <v>３３５　　　　　　　　　　　　　　　　　</v>
      </c>
      <c r="L4040" s="1"/>
    </row>
    <row r="4041" spans="1:12" ht="18" customHeight="1" x14ac:dyDescent="0.15">
      <c r="A4041" s="1">
        <v>5041</v>
      </c>
      <c r="B4041" s="11" t="s">
        <v>520</v>
      </c>
      <c r="C4041" s="11" t="s">
        <v>522</v>
      </c>
      <c r="D4041" s="11">
        <v>1</v>
      </c>
      <c r="E4041" s="11" t="s">
        <v>21</v>
      </c>
      <c r="F4041" s="12">
        <v>270375</v>
      </c>
      <c r="G4041" s="12">
        <v>270375</v>
      </c>
      <c r="H4041" s="11" t="str">
        <f t="shared" si="128"/>
        <v>平成6年9月14日</v>
      </c>
      <c r="I4041" s="22">
        <f t="shared" si="129"/>
        <v>34591</v>
      </c>
      <c r="J4041" s="1" t="str">
        <f>"00747317"</f>
        <v>00747317</v>
      </c>
      <c r="K4041" s="1" t="str">
        <f>"３３６　　　　　　　　　　　　　　　　　"</f>
        <v>３３６　　　　　　　　　　　　　　　　　</v>
      </c>
      <c r="L4041" s="1"/>
    </row>
    <row r="4042" spans="1:12" ht="18" customHeight="1" x14ac:dyDescent="0.15">
      <c r="A4042" s="1">
        <v>5042</v>
      </c>
      <c r="B4042" s="11" t="s">
        <v>520</v>
      </c>
      <c r="C4042" s="11" t="s">
        <v>522</v>
      </c>
      <c r="D4042" s="11">
        <v>1</v>
      </c>
      <c r="E4042" s="11" t="s">
        <v>21</v>
      </c>
      <c r="F4042" s="12">
        <v>270375</v>
      </c>
      <c r="G4042" s="12">
        <v>270375</v>
      </c>
      <c r="H4042" s="11" t="str">
        <f t="shared" si="128"/>
        <v>平成6年9月14日</v>
      </c>
      <c r="I4042" s="22">
        <f t="shared" si="129"/>
        <v>34591</v>
      </c>
      <c r="J4042" s="1" t="str">
        <f>"00747319"</f>
        <v>00747319</v>
      </c>
      <c r="K4042" s="1" t="str">
        <f>"３３７　　　　　　　　　　　　　　　　　"</f>
        <v>３３７　　　　　　　　　　　　　　　　　</v>
      </c>
      <c r="L4042" s="1"/>
    </row>
    <row r="4043" spans="1:12" ht="18" customHeight="1" x14ac:dyDescent="0.15">
      <c r="A4043" s="1">
        <v>5043</v>
      </c>
      <c r="B4043" s="11" t="s">
        <v>520</v>
      </c>
      <c r="C4043" s="11" t="s">
        <v>523</v>
      </c>
      <c r="D4043" s="11">
        <v>1</v>
      </c>
      <c r="E4043" s="11" t="s">
        <v>21</v>
      </c>
      <c r="F4043" s="12">
        <v>160800</v>
      </c>
      <c r="G4043" s="12">
        <v>160800</v>
      </c>
      <c r="H4043" s="11" t="str">
        <f t="shared" si="128"/>
        <v>平成6年9月14日</v>
      </c>
      <c r="I4043" s="22">
        <f t="shared" si="129"/>
        <v>34591</v>
      </c>
      <c r="J4043" s="1" t="str">
        <f>"00747321"</f>
        <v>00747321</v>
      </c>
      <c r="K4043" s="1" t="str">
        <f>"３７９　　　　　　　　　　　　　　　　　"</f>
        <v>３７９　　　　　　　　　　　　　　　　　</v>
      </c>
      <c r="L4043" s="1"/>
    </row>
    <row r="4044" spans="1:12" ht="18" customHeight="1" x14ac:dyDescent="0.15">
      <c r="A4044" s="1">
        <v>5044</v>
      </c>
      <c r="B4044" s="11" t="s">
        <v>520</v>
      </c>
      <c r="C4044" s="11" t="s">
        <v>523</v>
      </c>
      <c r="D4044" s="11">
        <v>1</v>
      </c>
      <c r="E4044" s="11" t="s">
        <v>21</v>
      </c>
      <c r="F4044" s="12">
        <v>160800</v>
      </c>
      <c r="G4044" s="12">
        <v>160800</v>
      </c>
      <c r="H4044" s="11" t="str">
        <f t="shared" si="128"/>
        <v>平成6年9月14日</v>
      </c>
      <c r="I4044" s="22">
        <f t="shared" si="129"/>
        <v>34591</v>
      </c>
      <c r="J4044" s="1" t="str">
        <f>"00747323"</f>
        <v>00747323</v>
      </c>
      <c r="K4044" s="1" t="str">
        <f>"３８０　　　　　　　　　　　　　　　　　"</f>
        <v>３８０　　　　　　　　　　　　　　　　　</v>
      </c>
      <c r="L4044" s="1"/>
    </row>
    <row r="4045" spans="1:12" ht="18" customHeight="1" x14ac:dyDescent="0.15">
      <c r="A4045" s="1">
        <v>5045</v>
      </c>
      <c r="B4045" s="11" t="s">
        <v>520</v>
      </c>
      <c r="C4045" s="11" t="s">
        <v>523</v>
      </c>
      <c r="D4045" s="11">
        <v>1</v>
      </c>
      <c r="E4045" s="11" t="s">
        <v>21</v>
      </c>
      <c r="F4045" s="12">
        <v>160800</v>
      </c>
      <c r="G4045" s="12">
        <v>160800</v>
      </c>
      <c r="H4045" s="11" t="str">
        <f t="shared" si="128"/>
        <v>平成6年9月14日</v>
      </c>
      <c r="I4045" s="22">
        <f t="shared" si="129"/>
        <v>34591</v>
      </c>
      <c r="J4045" s="1" t="str">
        <f>"00747325"</f>
        <v>00747325</v>
      </c>
      <c r="K4045" s="1" t="str">
        <f>"３８１　　　　　　　　　　　　　　　　　"</f>
        <v>３８１　　　　　　　　　　　　　　　　　</v>
      </c>
      <c r="L4045" s="1"/>
    </row>
    <row r="4046" spans="1:12" ht="18" customHeight="1" x14ac:dyDescent="0.15">
      <c r="A4046" s="1">
        <v>5046</v>
      </c>
      <c r="B4046" s="11" t="s">
        <v>520</v>
      </c>
      <c r="C4046" s="11" t="s">
        <v>523</v>
      </c>
      <c r="D4046" s="11">
        <v>1</v>
      </c>
      <c r="E4046" s="11" t="s">
        <v>21</v>
      </c>
      <c r="F4046" s="12">
        <v>160800</v>
      </c>
      <c r="G4046" s="12">
        <v>160800</v>
      </c>
      <c r="H4046" s="11" t="str">
        <f t="shared" si="128"/>
        <v>平成6年9月14日</v>
      </c>
      <c r="I4046" s="22">
        <f t="shared" si="129"/>
        <v>34591</v>
      </c>
      <c r="J4046" s="1" t="str">
        <f>"00747327"</f>
        <v>00747327</v>
      </c>
      <c r="K4046" s="1" t="str">
        <f>"３８２　　　　　　　　　　　　　　　　　"</f>
        <v>３８２　　　　　　　　　　　　　　　　　</v>
      </c>
      <c r="L4046" s="1"/>
    </row>
    <row r="4047" spans="1:12" ht="18" customHeight="1" x14ac:dyDescent="0.15">
      <c r="A4047" s="1">
        <v>5047</v>
      </c>
      <c r="B4047" s="11" t="s">
        <v>520</v>
      </c>
      <c r="C4047" s="11" t="s">
        <v>523</v>
      </c>
      <c r="D4047" s="11">
        <v>1</v>
      </c>
      <c r="E4047" s="11" t="s">
        <v>21</v>
      </c>
      <c r="F4047" s="12">
        <v>160800</v>
      </c>
      <c r="G4047" s="12">
        <v>160800</v>
      </c>
      <c r="H4047" s="11" t="str">
        <f t="shared" ref="H4047:H4110" si="130">"平成6年9月14日"</f>
        <v>平成6年9月14日</v>
      </c>
      <c r="I4047" s="22">
        <f t="shared" si="129"/>
        <v>34591</v>
      </c>
      <c r="J4047" s="1" t="str">
        <f>"00747329"</f>
        <v>00747329</v>
      </c>
      <c r="K4047" s="1" t="str">
        <f>"３８３　　　　　　　　　　　　　　　　　"</f>
        <v>３８３　　　　　　　　　　　　　　　　　</v>
      </c>
      <c r="L4047" s="1"/>
    </row>
    <row r="4048" spans="1:12" ht="18" customHeight="1" x14ac:dyDescent="0.15">
      <c r="A4048" s="1">
        <v>5048</v>
      </c>
      <c r="B4048" s="11" t="s">
        <v>520</v>
      </c>
      <c r="C4048" s="11" t="s">
        <v>523</v>
      </c>
      <c r="D4048" s="11">
        <v>1</v>
      </c>
      <c r="E4048" s="11" t="s">
        <v>21</v>
      </c>
      <c r="F4048" s="12">
        <v>160800</v>
      </c>
      <c r="G4048" s="12">
        <v>160800</v>
      </c>
      <c r="H4048" s="11" t="str">
        <f t="shared" si="130"/>
        <v>平成6年9月14日</v>
      </c>
      <c r="I4048" s="22">
        <f t="shared" si="129"/>
        <v>34591</v>
      </c>
      <c r="J4048" s="1" t="str">
        <f>"00747331"</f>
        <v>00747331</v>
      </c>
      <c r="K4048" s="1" t="str">
        <f>"３８４　　　　　　　　　　　　　　　　　"</f>
        <v>３８４　　　　　　　　　　　　　　　　　</v>
      </c>
      <c r="L4048" s="1"/>
    </row>
    <row r="4049" spans="1:12" ht="18" customHeight="1" x14ac:dyDescent="0.15">
      <c r="A4049" s="1">
        <v>5049</v>
      </c>
      <c r="B4049" s="11" t="s">
        <v>520</v>
      </c>
      <c r="C4049" s="11" t="s">
        <v>523</v>
      </c>
      <c r="D4049" s="11">
        <v>1</v>
      </c>
      <c r="E4049" s="11" t="s">
        <v>21</v>
      </c>
      <c r="F4049" s="12">
        <v>160800</v>
      </c>
      <c r="G4049" s="12">
        <v>160800</v>
      </c>
      <c r="H4049" s="11" t="str">
        <f t="shared" si="130"/>
        <v>平成6年9月14日</v>
      </c>
      <c r="I4049" s="22">
        <f t="shared" si="129"/>
        <v>34591</v>
      </c>
      <c r="J4049" s="1" t="str">
        <f>"00747333"</f>
        <v>00747333</v>
      </c>
      <c r="K4049" s="1" t="str">
        <f>"３８５　　　　　　　　　　　　　　　　　"</f>
        <v>３８５　　　　　　　　　　　　　　　　　</v>
      </c>
      <c r="L4049" s="1"/>
    </row>
    <row r="4050" spans="1:12" ht="18" customHeight="1" x14ac:dyDescent="0.15">
      <c r="A4050" s="1">
        <v>5050</v>
      </c>
      <c r="B4050" s="11" t="s">
        <v>520</v>
      </c>
      <c r="C4050" s="11" t="s">
        <v>523</v>
      </c>
      <c r="D4050" s="11">
        <v>1</v>
      </c>
      <c r="E4050" s="11" t="s">
        <v>21</v>
      </c>
      <c r="F4050" s="12">
        <v>160800</v>
      </c>
      <c r="G4050" s="12">
        <v>160800</v>
      </c>
      <c r="H4050" s="11" t="str">
        <f t="shared" si="130"/>
        <v>平成6年9月14日</v>
      </c>
      <c r="I4050" s="22">
        <f t="shared" ref="I4050:I4113" si="131">DATEVALUE(H4050)</f>
        <v>34591</v>
      </c>
      <c r="J4050" s="1" t="str">
        <f>"00747335"</f>
        <v>00747335</v>
      </c>
      <c r="K4050" s="1" t="str">
        <f>"３８６　　　　　　　　　　　　　　　　　"</f>
        <v>３８６　　　　　　　　　　　　　　　　　</v>
      </c>
      <c r="L4050" s="1"/>
    </row>
    <row r="4051" spans="1:12" ht="18" customHeight="1" x14ac:dyDescent="0.15">
      <c r="A4051" s="1">
        <v>5051</v>
      </c>
      <c r="B4051" s="11" t="s">
        <v>520</v>
      </c>
      <c r="C4051" s="11" t="s">
        <v>523</v>
      </c>
      <c r="D4051" s="11">
        <v>1</v>
      </c>
      <c r="E4051" s="11" t="s">
        <v>21</v>
      </c>
      <c r="F4051" s="12">
        <v>160800</v>
      </c>
      <c r="G4051" s="12">
        <v>160800</v>
      </c>
      <c r="H4051" s="11" t="str">
        <f t="shared" si="130"/>
        <v>平成6年9月14日</v>
      </c>
      <c r="I4051" s="22">
        <f t="shared" si="131"/>
        <v>34591</v>
      </c>
      <c r="J4051" s="1" t="str">
        <f>"00747337"</f>
        <v>00747337</v>
      </c>
      <c r="K4051" s="1" t="str">
        <f>"３８７　　　　　　　　　　　　　　　　　"</f>
        <v>３８７　　　　　　　　　　　　　　　　　</v>
      </c>
      <c r="L4051" s="1"/>
    </row>
    <row r="4052" spans="1:12" ht="18" customHeight="1" x14ac:dyDescent="0.15">
      <c r="A4052" s="1">
        <v>5052</v>
      </c>
      <c r="B4052" s="11" t="s">
        <v>520</v>
      </c>
      <c r="C4052" s="11" t="s">
        <v>523</v>
      </c>
      <c r="D4052" s="11">
        <v>1</v>
      </c>
      <c r="E4052" s="11" t="s">
        <v>21</v>
      </c>
      <c r="F4052" s="12">
        <v>160800</v>
      </c>
      <c r="G4052" s="12">
        <v>160800</v>
      </c>
      <c r="H4052" s="11" t="str">
        <f t="shared" si="130"/>
        <v>平成6年9月14日</v>
      </c>
      <c r="I4052" s="22">
        <f t="shared" si="131"/>
        <v>34591</v>
      </c>
      <c r="J4052" s="1" t="str">
        <f>"00747339"</f>
        <v>00747339</v>
      </c>
      <c r="K4052" s="1" t="str">
        <f>"３８８　　　　　　　　　　　　　　　　　"</f>
        <v>３８８　　　　　　　　　　　　　　　　　</v>
      </c>
      <c r="L4052" s="1"/>
    </row>
    <row r="4053" spans="1:12" ht="18" customHeight="1" x14ac:dyDescent="0.15">
      <c r="A4053" s="1">
        <v>5053</v>
      </c>
      <c r="B4053" s="11" t="s">
        <v>520</v>
      </c>
      <c r="C4053" s="11" t="s">
        <v>523</v>
      </c>
      <c r="D4053" s="11">
        <v>1</v>
      </c>
      <c r="E4053" s="11" t="s">
        <v>21</v>
      </c>
      <c r="F4053" s="12">
        <v>160800</v>
      </c>
      <c r="G4053" s="12">
        <v>160800</v>
      </c>
      <c r="H4053" s="11" t="str">
        <f t="shared" si="130"/>
        <v>平成6年9月14日</v>
      </c>
      <c r="I4053" s="22">
        <f t="shared" si="131"/>
        <v>34591</v>
      </c>
      <c r="J4053" s="1" t="str">
        <f>"00747341"</f>
        <v>00747341</v>
      </c>
      <c r="K4053" s="1" t="str">
        <f>"３８９　　　　　　　　　　　　　　　　　"</f>
        <v>３８９　　　　　　　　　　　　　　　　　</v>
      </c>
      <c r="L4053" s="1"/>
    </row>
    <row r="4054" spans="1:12" ht="18" customHeight="1" x14ac:dyDescent="0.15">
      <c r="A4054" s="1">
        <v>5054</v>
      </c>
      <c r="B4054" s="11" t="s">
        <v>520</v>
      </c>
      <c r="C4054" s="11" t="s">
        <v>523</v>
      </c>
      <c r="D4054" s="11">
        <v>1</v>
      </c>
      <c r="E4054" s="11" t="s">
        <v>21</v>
      </c>
      <c r="F4054" s="12">
        <v>160800</v>
      </c>
      <c r="G4054" s="12">
        <v>160800</v>
      </c>
      <c r="H4054" s="11" t="str">
        <f t="shared" si="130"/>
        <v>平成6年9月14日</v>
      </c>
      <c r="I4054" s="22">
        <f t="shared" si="131"/>
        <v>34591</v>
      </c>
      <c r="J4054" s="1" t="str">
        <f>"00747343"</f>
        <v>00747343</v>
      </c>
      <c r="K4054" s="1" t="str">
        <f>"３９０　　　　　　　　　　　　　　　　　"</f>
        <v>３９０　　　　　　　　　　　　　　　　　</v>
      </c>
      <c r="L4054" s="1"/>
    </row>
    <row r="4055" spans="1:12" ht="18" customHeight="1" x14ac:dyDescent="0.15">
      <c r="A4055" s="1">
        <v>5055</v>
      </c>
      <c r="B4055" s="11" t="s">
        <v>520</v>
      </c>
      <c r="C4055" s="11" t="s">
        <v>523</v>
      </c>
      <c r="D4055" s="11">
        <v>1</v>
      </c>
      <c r="E4055" s="11" t="s">
        <v>21</v>
      </c>
      <c r="F4055" s="12">
        <v>160800</v>
      </c>
      <c r="G4055" s="12">
        <v>160800</v>
      </c>
      <c r="H4055" s="11" t="str">
        <f t="shared" si="130"/>
        <v>平成6年9月14日</v>
      </c>
      <c r="I4055" s="22">
        <f t="shared" si="131"/>
        <v>34591</v>
      </c>
      <c r="J4055" s="1" t="str">
        <f>"00747345"</f>
        <v>00747345</v>
      </c>
      <c r="K4055" s="1" t="str">
        <f>"３９１　　　　　　　　　　　　　　　　　"</f>
        <v>３９１　　　　　　　　　　　　　　　　　</v>
      </c>
      <c r="L4055" s="1"/>
    </row>
    <row r="4056" spans="1:12" ht="18" customHeight="1" x14ac:dyDescent="0.15">
      <c r="A4056" s="1">
        <v>5056</v>
      </c>
      <c r="B4056" s="11" t="s">
        <v>520</v>
      </c>
      <c r="C4056" s="11" t="s">
        <v>523</v>
      </c>
      <c r="D4056" s="11">
        <v>1</v>
      </c>
      <c r="E4056" s="11" t="s">
        <v>21</v>
      </c>
      <c r="F4056" s="12">
        <v>160800</v>
      </c>
      <c r="G4056" s="12">
        <v>160800</v>
      </c>
      <c r="H4056" s="11" t="str">
        <f t="shared" si="130"/>
        <v>平成6年9月14日</v>
      </c>
      <c r="I4056" s="22">
        <f t="shared" si="131"/>
        <v>34591</v>
      </c>
      <c r="J4056" s="1" t="str">
        <f>"00747347"</f>
        <v>00747347</v>
      </c>
      <c r="K4056" s="1" t="str">
        <f>"３９２　　　　　　　　　　　　　　　　　"</f>
        <v>３９２　　　　　　　　　　　　　　　　　</v>
      </c>
      <c r="L4056" s="1"/>
    </row>
    <row r="4057" spans="1:12" ht="18" customHeight="1" x14ac:dyDescent="0.15">
      <c r="A4057" s="1">
        <v>5057</v>
      </c>
      <c r="B4057" s="11" t="s">
        <v>520</v>
      </c>
      <c r="C4057" s="11" t="s">
        <v>523</v>
      </c>
      <c r="D4057" s="11">
        <v>1</v>
      </c>
      <c r="E4057" s="11" t="s">
        <v>21</v>
      </c>
      <c r="F4057" s="12">
        <v>160800</v>
      </c>
      <c r="G4057" s="12">
        <v>160800</v>
      </c>
      <c r="H4057" s="11" t="str">
        <f t="shared" si="130"/>
        <v>平成6年9月14日</v>
      </c>
      <c r="I4057" s="22">
        <f t="shared" si="131"/>
        <v>34591</v>
      </c>
      <c r="J4057" s="1" t="str">
        <f>"00747349"</f>
        <v>00747349</v>
      </c>
      <c r="K4057" s="1" t="str">
        <f>"３９３　　　　　　　　　　　　　　　　　"</f>
        <v>３９３　　　　　　　　　　　　　　　　　</v>
      </c>
      <c r="L4057" s="1"/>
    </row>
    <row r="4058" spans="1:12" ht="18" customHeight="1" x14ac:dyDescent="0.15">
      <c r="A4058" s="1">
        <v>5058</v>
      </c>
      <c r="B4058" s="11" t="s">
        <v>520</v>
      </c>
      <c r="C4058" s="11" t="s">
        <v>523</v>
      </c>
      <c r="D4058" s="11">
        <v>1</v>
      </c>
      <c r="E4058" s="11" t="s">
        <v>21</v>
      </c>
      <c r="F4058" s="12">
        <v>160800</v>
      </c>
      <c r="G4058" s="12">
        <v>160800</v>
      </c>
      <c r="H4058" s="11" t="str">
        <f t="shared" si="130"/>
        <v>平成6年9月14日</v>
      </c>
      <c r="I4058" s="22">
        <f t="shared" si="131"/>
        <v>34591</v>
      </c>
      <c r="J4058" s="1" t="str">
        <f>"00747351"</f>
        <v>00747351</v>
      </c>
      <c r="K4058" s="1" t="str">
        <f>"３９４　　　　　　　　　　　　　　　　　"</f>
        <v>３９４　　　　　　　　　　　　　　　　　</v>
      </c>
      <c r="L4058" s="1"/>
    </row>
    <row r="4059" spans="1:12" ht="18" customHeight="1" x14ac:dyDescent="0.15">
      <c r="A4059" s="1">
        <v>5059</v>
      </c>
      <c r="B4059" s="11" t="s">
        <v>520</v>
      </c>
      <c r="C4059" s="11" t="s">
        <v>523</v>
      </c>
      <c r="D4059" s="11">
        <v>1</v>
      </c>
      <c r="E4059" s="11" t="s">
        <v>21</v>
      </c>
      <c r="F4059" s="12">
        <v>160800</v>
      </c>
      <c r="G4059" s="12">
        <v>160800</v>
      </c>
      <c r="H4059" s="11" t="str">
        <f t="shared" si="130"/>
        <v>平成6年9月14日</v>
      </c>
      <c r="I4059" s="22">
        <f t="shared" si="131"/>
        <v>34591</v>
      </c>
      <c r="J4059" s="1" t="str">
        <f>"00747353"</f>
        <v>00747353</v>
      </c>
      <c r="K4059" s="1" t="str">
        <f>"３９５　　　　　　　　　　　　　　　　　"</f>
        <v>３９５　　　　　　　　　　　　　　　　　</v>
      </c>
      <c r="L4059" s="1"/>
    </row>
    <row r="4060" spans="1:12" ht="18" customHeight="1" x14ac:dyDescent="0.15">
      <c r="A4060" s="1">
        <v>5060</v>
      </c>
      <c r="B4060" s="11" t="s">
        <v>520</v>
      </c>
      <c r="C4060" s="11" t="s">
        <v>523</v>
      </c>
      <c r="D4060" s="11">
        <v>1</v>
      </c>
      <c r="E4060" s="11" t="s">
        <v>21</v>
      </c>
      <c r="F4060" s="12">
        <v>160800</v>
      </c>
      <c r="G4060" s="12">
        <v>160800</v>
      </c>
      <c r="H4060" s="11" t="str">
        <f t="shared" si="130"/>
        <v>平成6年9月14日</v>
      </c>
      <c r="I4060" s="22">
        <f t="shared" si="131"/>
        <v>34591</v>
      </c>
      <c r="J4060" s="1" t="str">
        <f>"00747355"</f>
        <v>00747355</v>
      </c>
      <c r="K4060" s="1" t="str">
        <f>"３９６　　　　　　　　　　　　　　　　　"</f>
        <v>３９６　　　　　　　　　　　　　　　　　</v>
      </c>
      <c r="L4060" s="1"/>
    </row>
    <row r="4061" spans="1:12" ht="18" customHeight="1" x14ac:dyDescent="0.15">
      <c r="A4061" s="1">
        <v>5061</v>
      </c>
      <c r="B4061" s="11" t="s">
        <v>520</v>
      </c>
      <c r="C4061" s="11" t="s">
        <v>523</v>
      </c>
      <c r="D4061" s="11">
        <v>1</v>
      </c>
      <c r="E4061" s="11" t="s">
        <v>21</v>
      </c>
      <c r="F4061" s="12">
        <v>160800</v>
      </c>
      <c r="G4061" s="12">
        <v>160800</v>
      </c>
      <c r="H4061" s="11" t="str">
        <f t="shared" si="130"/>
        <v>平成6年9月14日</v>
      </c>
      <c r="I4061" s="22">
        <f t="shared" si="131"/>
        <v>34591</v>
      </c>
      <c r="J4061" s="1" t="str">
        <f>"00747357"</f>
        <v>00747357</v>
      </c>
      <c r="K4061" s="1" t="str">
        <f>"３９７　　　　　　　　　　　　　　　　　"</f>
        <v>３９７　　　　　　　　　　　　　　　　　</v>
      </c>
      <c r="L4061" s="1"/>
    </row>
    <row r="4062" spans="1:12" ht="18" customHeight="1" x14ac:dyDescent="0.15">
      <c r="A4062" s="1">
        <v>5062</v>
      </c>
      <c r="B4062" s="11" t="s">
        <v>520</v>
      </c>
      <c r="C4062" s="11" t="s">
        <v>523</v>
      </c>
      <c r="D4062" s="11">
        <v>1</v>
      </c>
      <c r="E4062" s="11" t="s">
        <v>21</v>
      </c>
      <c r="F4062" s="12">
        <v>160800</v>
      </c>
      <c r="G4062" s="12">
        <v>160800</v>
      </c>
      <c r="H4062" s="11" t="str">
        <f t="shared" si="130"/>
        <v>平成6年9月14日</v>
      </c>
      <c r="I4062" s="22">
        <f t="shared" si="131"/>
        <v>34591</v>
      </c>
      <c r="J4062" s="1" t="str">
        <f>"00747359"</f>
        <v>00747359</v>
      </c>
      <c r="K4062" s="1" t="str">
        <f>"３９８　　　　　　　　　　　　　　　　　"</f>
        <v>３９８　　　　　　　　　　　　　　　　　</v>
      </c>
      <c r="L4062" s="1"/>
    </row>
    <row r="4063" spans="1:12" ht="18" customHeight="1" x14ac:dyDescent="0.15">
      <c r="A4063" s="1">
        <v>5063</v>
      </c>
      <c r="B4063" s="11" t="s">
        <v>520</v>
      </c>
      <c r="C4063" s="11" t="s">
        <v>523</v>
      </c>
      <c r="D4063" s="11">
        <v>1</v>
      </c>
      <c r="E4063" s="11" t="s">
        <v>21</v>
      </c>
      <c r="F4063" s="12">
        <v>160800</v>
      </c>
      <c r="G4063" s="12">
        <v>160800</v>
      </c>
      <c r="H4063" s="11" t="str">
        <f t="shared" si="130"/>
        <v>平成6年9月14日</v>
      </c>
      <c r="I4063" s="22">
        <f t="shared" si="131"/>
        <v>34591</v>
      </c>
      <c r="J4063" s="1" t="str">
        <f>"00747361"</f>
        <v>00747361</v>
      </c>
      <c r="K4063" s="1" t="str">
        <f>"３９９　　　　　　　　　　　　　　　　　"</f>
        <v>３９９　　　　　　　　　　　　　　　　　</v>
      </c>
      <c r="L4063" s="1"/>
    </row>
    <row r="4064" spans="1:12" ht="18" customHeight="1" x14ac:dyDescent="0.15">
      <c r="A4064" s="1">
        <v>5064</v>
      </c>
      <c r="B4064" s="11" t="s">
        <v>520</v>
      </c>
      <c r="C4064" s="11" t="s">
        <v>523</v>
      </c>
      <c r="D4064" s="11">
        <v>1</v>
      </c>
      <c r="E4064" s="11" t="s">
        <v>21</v>
      </c>
      <c r="F4064" s="12">
        <v>160800</v>
      </c>
      <c r="G4064" s="12">
        <v>160800</v>
      </c>
      <c r="H4064" s="11" t="str">
        <f t="shared" si="130"/>
        <v>平成6年9月14日</v>
      </c>
      <c r="I4064" s="22">
        <f t="shared" si="131"/>
        <v>34591</v>
      </c>
      <c r="J4064" s="1" t="str">
        <f>"00747363"</f>
        <v>00747363</v>
      </c>
      <c r="K4064" s="1" t="str">
        <f>"４００　　　　　　　　　　　　　　　　　"</f>
        <v>４００　　　　　　　　　　　　　　　　　</v>
      </c>
      <c r="L4064" s="1"/>
    </row>
    <row r="4065" spans="1:12" ht="18" customHeight="1" x14ac:dyDescent="0.15">
      <c r="A4065" s="1">
        <v>5065</v>
      </c>
      <c r="B4065" s="11" t="s">
        <v>520</v>
      </c>
      <c r="C4065" s="11" t="s">
        <v>523</v>
      </c>
      <c r="D4065" s="11">
        <v>1</v>
      </c>
      <c r="E4065" s="11" t="s">
        <v>21</v>
      </c>
      <c r="F4065" s="12">
        <v>160800</v>
      </c>
      <c r="G4065" s="12">
        <v>160800</v>
      </c>
      <c r="H4065" s="11" t="str">
        <f t="shared" si="130"/>
        <v>平成6年9月14日</v>
      </c>
      <c r="I4065" s="22">
        <f t="shared" si="131"/>
        <v>34591</v>
      </c>
      <c r="J4065" s="1" t="str">
        <f>"00747365"</f>
        <v>00747365</v>
      </c>
      <c r="K4065" s="1" t="str">
        <f>"４０１　　　　　　　　　　　　　　　　　"</f>
        <v>４０１　　　　　　　　　　　　　　　　　</v>
      </c>
      <c r="L4065" s="1"/>
    </row>
    <row r="4066" spans="1:12" ht="18" customHeight="1" x14ac:dyDescent="0.15">
      <c r="A4066" s="1">
        <v>5066</v>
      </c>
      <c r="B4066" s="11" t="s">
        <v>520</v>
      </c>
      <c r="C4066" s="11" t="s">
        <v>523</v>
      </c>
      <c r="D4066" s="11">
        <v>1</v>
      </c>
      <c r="E4066" s="11" t="s">
        <v>21</v>
      </c>
      <c r="F4066" s="12">
        <v>160800</v>
      </c>
      <c r="G4066" s="12">
        <v>160800</v>
      </c>
      <c r="H4066" s="11" t="str">
        <f t="shared" si="130"/>
        <v>平成6年9月14日</v>
      </c>
      <c r="I4066" s="22">
        <f t="shared" si="131"/>
        <v>34591</v>
      </c>
      <c r="J4066" s="1" t="str">
        <f>"00747367"</f>
        <v>00747367</v>
      </c>
      <c r="K4066" s="1" t="str">
        <f>"４０２　　　　　　　　　　　　　　　　　"</f>
        <v>４０２　　　　　　　　　　　　　　　　　</v>
      </c>
      <c r="L4066" s="1"/>
    </row>
    <row r="4067" spans="1:12" ht="18" customHeight="1" x14ac:dyDescent="0.15">
      <c r="A4067" s="1">
        <v>5067</v>
      </c>
      <c r="B4067" s="11" t="s">
        <v>520</v>
      </c>
      <c r="C4067" s="11" t="s">
        <v>523</v>
      </c>
      <c r="D4067" s="11">
        <v>1</v>
      </c>
      <c r="E4067" s="11" t="s">
        <v>21</v>
      </c>
      <c r="F4067" s="12">
        <v>160800</v>
      </c>
      <c r="G4067" s="12">
        <v>160800</v>
      </c>
      <c r="H4067" s="11" t="str">
        <f t="shared" si="130"/>
        <v>平成6年9月14日</v>
      </c>
      <c r="I4067" s="22">
        <f t="shared" si="131"/>
        <v>34591</v>
      </c>
      <c r="J4067" s="1" t="str">
        <f>"00747369"</f>
        <v>00747369</v>
      </c>
      <c r="K4067" s="1" t="str">
        <f>"４０３　　　　　　　　　　　　　　　　　"</f>
        <v>４０３　　　　　　　　　　　　　　　　　</v>
      </c>
      <c r="L4067" s="1"/>
    </row>
    <row r="4068" spans="1:12" ht="18" customHeight="1" x14ac:dyDescent="0.15">
      <c r="A4068" s="1">
        <v>5068</v>
      </c>
      <c r="B4068" s="11" t="s">
        <v>520</v>
      </c>
      <c r="C4068" s="11" t="s">
        <v>523</v>
      </c>
      <c r="D4068" s="11">
        <v>1</v>
      </c>
      <c r="E4068" s="11" t="s">
        <v>21</v>
      </c>
      <c r="F4068" s="12">
        <v>160800</v>
      </c>
      <c r="G4068" s="12">
        <v>160800</v>
      </c>
      <c r="H4068" s="11" t="str">
        <f t="shared" si="130"/>
        <v>平成6年9月14日</v>
      </c>
      <c r="I4068" s="22">
        <f t="shared" si="131"/>
        <v>34591</v>
      </c>
      <c r="J4068" s="1" t="str">
        <f>"00747371"</f>
        <v>00747371</v>
      </c>
      <c r="K4068" s="1" t="str">
        <f>"４０４　　　　　　　　　　　　　　　　　"</f>
        <v>４０４　　　　　　　　　　　　　　　　　</v>
      </c>
      <c r="L4068" s="1"/>
    </row>
    <row r="4069" spans="1:12" ht="18" customHeight="1" x14ac:dyDescent="0.15">
      <c r="A4069" s="1">
        <v>5069</v>
      </c>
      <c r="B4069" s="11" t="s">
        <v>520</v>
      </c>
      <c r="C4069" s="11" t="s">
        <v>523</v>
      </c>
      <c r="D4069" s="11">
        <v>1</v>
      </c>
      <c r="E4069" s="11" t="s">
        <v>21</v>
      </c>
      <c r="F4069" s="12">
        <v>160800</v>
      </c>
      <c r="G4069" s="12">
        <v>160800</v>
      </c>
      <c r="H4069" s="11" t="str">
        <f t="shared" si="130"/>
        <v>平成6年9月14日</v>
      </c>
      <c r="I4069" s="22">
        <f t="shared" si="131"/>
        <v>34591</v>
      </c>
      <c r="J4069" s="1" t="str">
        <f>"00747373"</f>
        <v>00747373</v>
      </c>
      <c r="K4069" s="1" t="str">
        <f>"４０５　　　　　　　　　　　　　　　　　"</f>
        <v>４０５　　　　　　　　　　　　　　　　　</v>
      </c>
      <c r="L4069" s="1"/>
    </row>
    <row r="4070" spans="1:12" ht="18" customHeight="1" x14ac:dyDescent="0.15">
      <c r="A4070" s="1">
        <v>5070</v>
      </c>
      <c r="B4070" s="11" t="s">
        <v>520</v>
      </c>
      <c r="C4070" s="11" t="s">
        <v>523</v>
      </c>
      <c r="D4070" s="11">
        <v>1</v>
      </c>
      <c r="E4070" s="11" t="s">
        <v>21</v>
      </c>
      <c r="F4070" s="12">
        <v>160800</v>
      </c>
      <c r="G4070" s="12">
        <v>160800</v>
      </c>
      <c r="H4070" s="11" t="str">
        <f t="shared" si="130"/>
        <v>平成6年9月14日</v>
      </c>
      <c r="I4070" s="22">
        <f t="shared" si="131"/>
        <v>34591</v>
      </c>
      <c r="J4070" s="1" t="str">
        <f>"00747375"</f>
        <v>00747375</v>
      </c>
      <c r="K4070" s="1" t="str">
        <f>"４０６　　　　　　　　　　　　　　　　　"</f>
        <v>４０６　　　　　　　　　　　　　　　　　</v>
      </c>
      <c r="L4070" s="1"/>
    </row>
    <row r="4071" spans="1:12" ht="18" customHeight="1" x14ac:dyDescent="0.15">
      <c r="A4071" s="1">
        <v>5071</v>
      </c>
      <c r="B4071" s="11" t="s">
        <v>520</v>
      </c>
      <c r="C4071" s="11" t="s">
        <v>523</v>
      </c>
      <c r="D4071" s="11">
        <v>1</v>
      </c>
      <c r="E4071" s="11" t="s">
        <v>21</v>
      </c>
      <c r="F4071" s="12">
        <v>160800</v>
      </c>
      <c r="G4071" s="12">
        <v>160800</v>
      </c>
      <c r="H4071" s="11" t="str">
        <f t="shared" si="130"/>
        <v>平成6年9月14日</v>
      </c>
      <c r="I4071" s="22">
        <f t="shared" si="131"/>
        <v>34591</v>
      </c>
      <c r="J4071" s="1" t="str">
        <f>"00747377"</f>
        <v>00747377</v>
      </c>
      <c r="K4071" s="1" t="str">
        <f>"４０７　　　　　　　　　　　　　　　　　"</f>
        <v>４０７　　　　　　　　　　　　　　　　　</v>
      </c>
      <c r="L4071" s="1"/>
    </row>
    <row r="4072" spans="1:12" ht="18" customHeight="1" x14ac:dyDescent="0.15">
      <c r="A4072" s="1">
        <v>5072</v>
      </c>
      <c r="B4072" s="11" t="s">
        <v>520</v>
      </c>
      <c r="C4072" s="11" t="s">
        <v>523</v>
      </c>
      <c r="D4072" s="11">
        <v>1</v>
      </c>
      <c r="E4072" s="11" t="s">
        <v>21</v>
      </c>
      <c r="F4072" s="12">
        <v>160800</v>
      </c>
      <c r="G4072" s="12">
        <v>160800</v>
      </c>
      <c r="H4072" s="11" t="str">
        <f t="shared" si="130"/>
        <v>平成6年9月14日</v>
      </c>
      <c r="I4072" s="22">
        <f t="shared" si="131"/>
        <v>34591</v>
      </c>
      <c r="J4072" s="1" t="str">
        <f>"00747379"</f>
        <v>00747379</v>
      </c>
      <c r="K4072" s="1" t="str">
        <f>"４０８　　　　　　　　　　　　　　　　　"</f>
        <v>４０８　　　　　　　　　　　　　　　　　</v>
      </c>
      <c r="L4072" s="1"/>
    </row>
    <row r="4073" spans="1:12" ht="18" customHeight="1" x14ac:dyDescent="0.15">
      <c r="A4073" s="1">
        <v>5073</v>
      </c>
      <c r="B4073" s="11" t="s">
        <v>520</v>
      </c>
      <c r="C4073" s="11" t="s">
        <v>523</v>
      </c>
      <c r="D4073" s="11">
        <v>1</v>
      </c>
      <c r="E4073" s="11" t="s">
        <v>21</v>
      </c>
      <c r="F4073" s="12">
        <v>160800</v>
      </c>
      <c r="G4073" s="12">
        <v>160800</v>
      </c>
      <c r="H4073" s="11" t="str">
        <f t="shared" si="130"/>
        <v>平成6年9月14日</v>
      </c>
      <c r="I4073" s="22">
        <f t="shared" si="131"/>
        <v>34591</v>
      </c>
      <c r="J4073" s="1" t="str">
        <f>"00747381"</f>
        <v>00747381</v>
      </c>
      <c r="K4073" s="1" t="str">
        <f>"４０９　　　　　　　　　　　　　　　　　"</f>
        <v>４０９　　　　　　　　　　　　　　　　　</v>
      </c>
      <c r="L4073" s="1"/>
    </row>
    <row r="4074" spans="1:12" ht="18" customHeight="1" x14ac:dyDescent="0.15">
      <c r="A4074" s="1">
        <v>5074</v>
      </c>
      <c r="B4074" s="11" t="s">
        <v>520</v>
      </c>
      <c r="C4074" s="11" t="s">
        <v>523</v>
      </c>
      <c r="D4074" s="11">
        <v>1</v>
      </c>
      <c r="E4074" s="11" t="s">
        <v>21</v>
      </c>
      <c r="F4074" s="12">
        <v>160800</v>
      </c>
      <c r="G4074" s="12">
        <v>160800</v>
      </c>
      <c r="H4074" s="11" t="str">
        <f t="shared" si="130"/>
        <v>平成6年9月14日</v>
      </c>
      <c r="I4074" s="22">
        <f t="shared" si="131"/>
        <v>34591</v>
      </c>
      <c r="J4074" s="1" t="str">
        <f>"00747383"</f>
        <v>00747383</v>
      </c>
      <c r="K4074" s="1" t="str">
        <f>"４１０　　　　　　　　　　　　　　　　　"</f>
        <v>４１０　　　　　　　　　　　　　　　　　</v>
      </c>
      <c r="L4074" s="1"/>
    </row>
    <row r="4075" spans="1:12" ht="18" customHeight="1" x14ac:dyDescent="0.15">
      <c r="A4075" s="1">
        <v>5075</v>
      </c>
      <c r="B4075" s="11" t="s">
        <v>520</v>
      </c>
      <c r="C4075" s="11" t="s">
        <v>523</v>
      </c>
      <c r="D4075" s="11">
        <v>1</v>
      </c>
      <c r="E4075" s="11" t="s">
        <v>21</v>
      </c>
      <c r="F4075" s="12">
        <v>160800</v>
      </c>
      <c r="G4075" s="12">
        <v>160800</v>
      </c>
      <c r="H4075" s="11" t="str">
        <f t="shared" si="130"/>
        <v>平成6年9月14日</v>
      </c>
      <c r="I4075" s="22">
        <f t="shared" si="131"/>
        <v>34591</v>
      </c>
      <c r="J4075" s="1" t="str">
        <f>"00747385"</f>
        <v>00747385</v>
      </c>
      <c r="K4075" s="1" t="str">
        <f>"４１１　　　　　　　　　　　　　　　　　"</f>
        <v>４１１　　　　　　　　　　　　　　　　　</v>
      </c>
      <c r="L4075" s="1"/>
    </row>
    <row r="4076" spans="1:12" ht="18" customHeight="1" x14ac:dyDescent="0.15">
      <c r="A4076" s="1">
        <v>5076</v>
      </c>
      <c r="B4076" s="11" t="s">
        <v>520</v>
      </c>
      <c r="C4076" s="11" t="s">
        <v>523</v>
      </c>
      <c r="D4076" s="11">
        <v>1</v>
      </c>
      <c r="E4076" s="11" t="s">
        <v>21</v>
      </c>
      <c r="F4076" s="12">
        <v>160800</v>
      </c>
      <c r="G4076" s="12">
        <v>160800</v>
      </c>
      <c r="H4076" s="11" t="str">
        <f t="shared" si="130"/>
        <v>平成6年9月14日</v>
      </c>
      <c r="I4076" s="22">
        <f t="shared" si="131"/>
        <v>34591</v>
      </c>
      <c r="J4076" s="1" t="str">
        <f>"00747387"</f>
        <v>00747387</v>
      </c>
      <c r="K4076" s="1" t="str">
        <f>"４１２　　　　　　　　　　　　　　　　　"</f>
        <v>４１２　　　　　　　　　　　　　　　　　</v>
      </c>
      <c r="L4076" s="1"/>
    </row>
    <row r="4077" spans="1:12" ht="18" customHeight="1" x14ac:dyDescent="0.15">
      <c r="A4077" s="1">
        <v>5077</v>
      </c>
      <c r="B4077" s="11" t="s">
        <v>520</v>
      </c>
      <c r="C4077" s="11" t="s">
        <v>524</v>
      </c>
      <c r="D4077" s="11">
        <v>1</v>
      </c>
      <c r="E4077" s="11" t="s">
        <v>21</v>
      </c>
      <c r="F4077" s="12">
        <v>124160</v>
      </c>
      <c r="G4077" s="12">
        <v>124160</v>
      </c>
      <c r="H4077" s="11" t="str">
        <f t="shared" si="130"/>
        <v>平成6年9月14日</v>
      </c>
      <c r="I4077" s="22">
        <f t="shared" si="131"/>
        <v>34591</v>
      </c>
      <c r="J4077" s="1" t="str">
        <f>"00747389"</f>
        <v>00747389</v>
      </c>
      <c r="K4077" s="1" t="str">
        <f>"４１３　　　　　　　　　　　　　　　　　"</f>
        <v>４１３　　　　　　　　　　　　　　　　　</v>
      </c>
      <c r="L4077" s="1"/>
    </row>
    <row r="4078" spans="1:12" ht="18" customHeight="1" x14ac:dyDescent="0.15">
      <c r="A4078" s="1">
        <v>5078</v>
      </c>
      <c r="B4078" s="11" t="s">
        <v>520</v>
      </c>
      <c r="C4078" s="11" t="s">
        <v>524</v>
      </c>
      <c r="D4078" s="11">
        <v>1</v>
      </c>
      <c r="E4078" s="11" t="s">
        <v>21</v>
      </c>
      <c r="F4078" s="12">
        <v>124160</v>
      </c>
      <c r="G4078" s="12">
        <v>124160</v>
      </c>
      <c r="H4078" s="11" t="str">
        <f t="shared" si="130"/>
        <v>平成6年9月14日</v>
      </c>
      <c r="I4078" s="22">
        <f t="shared" si="131"/>
        <v>34591</v>
      </c>
      <c r="J4078" s="1" t="str">
        <f>"00747391"</f>
        <v>00747391</v>
      </c>
      <c r="K4078" s="1" t="str">
        <f>"４１４　　　　　　　　　　　　　　　　　"</f>
        <v>４１４　　　　　　　　　　　　　　　　　</v>
      </c>
      <c r="L4078" s="1"/>
    </row>
    <row r="4079" spans="1:12" ht="18" customHeight="1" x14ac:dyDescent="0.15">
      <c r="A4079" s="1">
        <v>5079</v>
      </c>
      <c r="B4079" s="11" t="s">
        <v>520</v>
      </c>
      <c r="C4079" s="11" t="s">
        <v>524</v>
      </c>
      <c r="D4079" s="11">
        <v>1</v>
      </c>
      <c r="E4079" s="11" t="s">
        <v>21</v>
      </c>
      <c r="F4079" s="12">
        <v>124160</v>
      </c>
      <c r="G4079" s="12">
        <v>124160</v>
      </c>
      <c r="H4079" s="11" t="str">
        <f t="shared" si="130"/>
        <v>平成6年9月14日</v>
      </c>
      <c r="I4079" s="22">
        <f t="shared" si="131"/>
        <v>34591</v>
      </c>
      <c r="J4079" s="1" t="str">
        <f>"00747393"</f>
        <v>00747393</v>
      </c>
      <c r="K4079" s="1" t="str">
        <f>"４１５　　　　　　　　　　　　　　　　　"</f>
        <v>４１５　　　　　　　　　　　　　　　　　</v>
      </c>
      <c r="L4079" s="1"/>
    </row>
    <row r="4080" spans="1:12" ht="18" customHeight="1" x14ac:dyDescent="0.15">
      <c r="A4080" s="1">
        <v>5080</v>
      </c>
      <c r="B4080" s="11" t="s">
        <v>520</v>
      </c>
      <c r="C4080" s="11" t="s">
        <v>524</v>
      </c>
      <c r="D4080" s="11">
        <v>1</v>
      </c>
      <c r="E4080" s="11" t="s">
        <v>21</v>
      </c>
      <c r="F4080" s="12">
        <v>124160</v>
      </c>
      <c r="G4080" s="12">
        <v>124160</v>
      </c>
      <c r="H4080" s="11" t="str">
        <f t="shared" si="130"/>
        <v>平成6年9月14日</v>
      </c>
      <c r="I4080" s="22">
        <f t="shared" si="131"/>
        <v>34591</v>
      </c>
      <c r="J4080" s="1" t="str">
        <f>"00747395"</f>
        <v>00747395</v>
      </c>
      <c r="K4080" s="1" t="str">
        <f>"４１６　　　　　　　　　　　　　　　　　"</f>
        <v>４１６　　　　　　　　　　　　　　　　　</v>
      </c>
      <c r="L4080" s="1"/>
    </row>
    <row r="4081" spans="1:12" ht="18" customHeight="1" x14ac:dyDescent="0.15">
      <c r="A4081" s="1">
        <v>5081</v>
      </c>
      <c r="B4081" s="11" t="s">
        <v>520</v>
      </c>
      <c r="C4081" s="11" t="s">
        <v>524</v>
      </c>
      <c r="D4081" s="11">
        <v>1</v>
      </c>
      <c r="E4081" s="11" t="s">
        <v>21</v>
      </c>
      <c r="F4081" s="12">
        <v>124160</v>
      </c>
      <c r="G4081" s="12">
        <v>124160</v>
      </c>
      <c r="H4081" s="11" t="str">
        <f t="shared" si="130"/>
        <v>平成6年9月14日</v>
      </c>
      <c r="I4081" s="22">
        <f t="shared" si="131"/>
        <v>34591</v>
      </c>
      <c r="J4081" s="1" t="str">
        <f>"00747397"</f>
        <v>00747397</v>
      </c>
      <c r="K4081" s="1" t="str">
        <f>"４１７　　　　　　　　　　　　　　　　　"</f>
        <v>４１７　　　　　　　　　　　　　　　　　</v>
      </c>
      <c r="L4081" s="1"/>
    </row>
    <row r="4082" spans="1:12" s="40" customFormat="1" ht="18" customHeight="1" x14ac:dyDescent="0.15">
      <c r="A4082" s="25">
        <v>5112</v>
      </c>
      <c r="B4082" s="25" t="s">
        <v>35</v>
      </c>
      <c r="C4082" s="25" t="s">
        <v>530</v>
      </c>
      <c r="D4082" s="25">
        <v>1</v>
      </c>
      <c r="E4082" s="25" t="s">
        <v>9</v>
      </c>
      <c r="F4082" s="38">
        <v>81400</v>
      </c>
      <c r="G4082" s="38" t="s">
        <v>669</v>
      </c>
      <c r="H4082" s="25" t="str">
        <f t="shared" si="130"/>
        <v>平成6年9月14日</v>
      </c>
      <c r="I4082" s="39">
        <f t="shared" si="131"/>
        <v>34591</v>
      </c>
      <c r="J4082" s="25" t="str">
        <f>"00747459"</f>
        <v>00747459</v>
      </c>
      <c r="K4082" s="25" t="str">
        <f>"３６５　　　　　　　　　　　　　　　　　"</f>
        <v>３６５　　　　　　　　　　　　　　　　　</v>
      </c>
      <c r="L4082" s="25"/>
    </row>
    <row r="4083" spans="1:12" s="40" customFormat="1" ht="18" customHeight="1" x14ac:dyDescent="0.15">
      <c r="A4083" s="25">
        <v>5113</v>
      </c>
      <c r="B4083" s="25" t="s">
        <v>35</v>
      </c>
      <c r="C4083" s="25" t="s">
        <v>530</v>
      </c>
      <c r="D4083" s="25">
        <v>1</v>
      </c>
      <c r="E4083" s="25" t="s">
        <v>9</v>
      </c>
      <c r="F4083" s="38">
        <v>81400</v>
      </c>
      <c r="G4083" s="38" t="s">
        <v>669</v>
      </c>
      <c r="H4083" s="25" t="str">
        <f t="shared" si="130"/>
        <v>平成6年9月14日</v>
      </c>
      <c r="I4083" s="39">
        <f t="shared" si="131"/>
        <v>34591</v>
      </c>
      <c r="J4083" s="25" t="str">
        <f>"00747461"</f>
        <v>00747461</v>
      </c>
      <c r="K4083" s="25" t="str">
        <f>"３６６　　　　　　　　　　　　　　　　　"</f>
        <v>３６６　　　　　　　　　　　　　　　　　</v>
      </c>
      <c r="L4083" s="25"/>
    </row>
    <row r="4084" spans="1:12" s="40" customFormat="1" ht="18" customHeight="1" x14ac:dyDescent="0.15">
      <c r="A4084" s="25">
        <v>5114</v>
      </c>
      <c r="B4084" s="25" t="s">
        <v>35</v>
      </c>
      <c r="C4084" s="25" t="s">
        <v>530</v>
      </c>
      <c r="D4084" s="25">
        <v>1</v>
      </c>
      <c r="E4084" s="25" t="s">
        <v>9</v>
      </c>
      <c r="F4084" s="38">
        <v>81400</v>
      </c>
      <c r="G4084" s="38" t="s">
        <v>669</v>
      </c>
      <c r="H4084" s="25" t="str">
        <f t="shared" si="130"/>
        <v>平成6年9月14日</v>
      </c>
      <c r="I4084" s="39">
        <f t="shared" si="131"/>
        <v>34591</v>
      </c>
      <c r="J4084" s="25" t="str">
        <f>"00747463"</f>
        <v>00747463</v>
      </c>
      <c r="K4084" s="25" t="str">
        <f>"３６７　　　　　　　　　　　　　　　　　"</f>
        <v>３６７　　　　　　　　　　　　　　　　　</v>
      </c>
      <c r="L4084" s="25"/>
    </row>
    <row r="4085" spans="1:12" s="40" customFormat="1" ht="18" customHeight="1" x14ac:dyDescent="0.15">
      <c r="A4085" s="25">
        <v>5115</v>
      </c>
      <c r="B4085" s="25" t="s">
        <v>35</v>
      </c>
      <c r="C4085" s="25" t="s">
        <v>530</v>
      </c>
      <c r="D4085" s="25">
        <v>1</v>
      </c>
      <c r="E4085" s="25" t="s">
        <v>9</v>
      </c>
      <c r="F4085" s="38">
        <v>81400</v>
      </c>
      <c r="G4085" s="38" t="s">
        <v>669</v>
      </c>
      <c r="H4085" s="25" t="str">
        <f t="shared" si="130"/>
        <v>平成6年9月14日</v>
      </c>
      <c r="I4085" s="39">
        <f t="shared" si="131"/>
        <v>34591</v>
      </c>
      <c r="J4085" s="25" t="str">
        <f>"00747465"</f>
        <v>00747465</v>
      </c>
      <c r="K4085" s="25" t="str">
        <f>"３６８　　　　　　　　　　　　　　　　　"</f>
        <v>３６８　　　　　　　　　　　　　　　　　</v>
      </c>
      <c r="L4085" s="25"/>
    </row>
    <row r="4086" spans="1:12" s="40" customFormat="1" ht="18" customHeight="1" x14ac:dyDescent="0.15">
      <c r="A4086" s="25">
        <v>5116</v>
      </c>
      <c r="B4086" s="25" t="s">
        <v>35</v>
      </c>
      <c r="C4086" s="25" t="s">
        <v>530</v>
      </c>
      <c r="D4086" s="25">
        <v>1</v>
      </c>
      <c r="E4086" s="25" t="s">
        <v>9</v>
      </c>
      <c r="F4086" s="38">
        <v>81400</v>
      </c>
      <c r="G4086" s="38" t="s">
        <v>669</v>
      </c>
      <c r="H4086" s="25" t="str">
        <f t="shared" si="130"/>
        <v>平成6年9月14日</v>
      </c>
      <c r="I4086" s="39">
        <f t="shared" si="131"/>
        <v>34591</v>
      </c>
      <c r="J4086" s="25" t="str">
        <f>"00747467"</f>
        <v>00747467</v>
      </c>
      <c r="K4086" s="25" t="str">
        <f>"３６９　　　　　　　　　　　　　　　　　"</f>
        <v>３６９　　　　　　　　　　　　　　　　　</v>
      </c>
      <c r="L4086" s="25"/>
    </row>
    <row r="4087" spans="1:12" s="40" customFormat="1" ht="18" customHeight="1" x14ac:dyDescent="0.15">
      <c r="A4087" s="25">
        <v>5117</v>
      </c>
      <c r="B4087" s="25" t="s">
        <v>35</v>
      </c>
      <c r="C4087" s="25" t="s">
        <v>530</v>
      </c>
      <c r="D4087" s="25">
        <v>1</v>
      </c>
      <c r="E4087" s="25" t="s">
        <v>9</v>
      </c>
      <c r="F4087" s="38">
        <v>81400</v>
      </c>
      <c r="G4087" s="38" t="s">
        <v>669</v>
      </c>
      <c r="H4087" s="25" t="str">
        <f t="shared" si="130"/>
        <v>平成6年9月14日</v>
      </c>
      <c r="I4087" s="39">
        <f t="shared" si="131"/>
        <v>34591</v>
      </c>
      <c r="J4087" s="25" t="str">
        <f>"00747469"</f>
        <v>00747469</v>
      </c>
      <c r="K4087" s="25" t="str">
        <f>"３７０　　　　　　　　　　　　　　　　　"</f>
        <v>３７０　　　　　　　　　　　　　　　　　</v>
      </c>
      <c r="L4087" s="25"/>
    </row>
    <row r="4088" spans="1:12" s="40" customFormat="1" ht="18" customHeight="1" x14ac:dyDescent="0.15">
      <c r="A4088" s="25">
        <v>5118</v>
      </c>
      <c r="B4088" s="25" t="s">
        <v>35</v>
      </c>
      <c r="C4088" s="25" t="s">
        <v>530</v>
      </c>
      <c r="D4088" s="25">
        <v>1</v>
      </c>
      <c r="E4088" s="25" t="s">
        <v>9</v>
      </c>
      <c r="F4088" s="38">
        <v>81400</v>
      </c>
      <c r="G4088" s="38" t="s">
        <v>669</v>
      </c>
      <c r="H4088" s="25" t="str">
        <f t="shared" si="130"/>
        <v>平成6年9月14日</v>
      </c>
      <c r="I4088" s="39">
        <f t="shared" si="131"/>
        <v>34591</v>
      </c>
      <c r="J4088" s="25" t="str">
        <f>"00747471"</f>
        <v>00747471</v>
      </c>
      <c r="K4088" s="25" t="str">
        <f>"３７１　　　　　　　　　　　　　　　　　"</f>
        <v>３７１　　　　　　　　　　　　　　　　　</v>
      </c>
      <c r="L4088" s="25"/>
    </row>
    <row r="4089" spans="1:12" s="40" customFormat="1" ht="18" customHeight="1" x14ac:dyDescent="0.15">
      <c r="A4089" s="25">
        <v>5119</v>
      </c>
      <c r="B4089" s="25" t="s">
        <v>35</v>
      </c>
      <c r="C4089" s="25" t="s">
        <v>531</v>
      </c>
      <c r="D4089" s="25">
        <v>1</v>
      </c>
      <c r="E4089" s="25" t="s">
        <v>9</v>
      </c>
      <c r="F4089" s="38">
        <v>79200</v>
      </c>
      <c r="G4089" s="38" t="s">
        <v>669</v>
      </c>
      <c r="H4089" s="25" t="str">
        <f t="shared" si="130"/>
        <v>平成6年9月14日</v>
      </c>
      <c r="I4089" s="39">
        <f t="shared" si="131"/>
        <v>34591</v>
      </c>
      <c r="J4089" s="25" t="str">
        <f>"00747473"</f>
        <v>00747473</v>
      </c>
      <c r="K4089" s="25" t="str">
        <f>"３７２　　　　　　　　　　　　　　　　　"</f>
        <v>３７２　　　　　　　　　　　　　　　　　</v>
      </c>
      <c r="L4089" s="25"/>
    </row>
    <row r="4090" spans="1:12" s="40" customFormat="1" ht="18" customHeight="1" x14ac:dyDescent="0.15">
      <c r="A4090" s="25">
        <v>5120</v>
      </c>
      <c r="B4090" s="25" t="s">
        <v>35</v>
      </c>
      <c r="C4090" s="25" t="s">
        <v>531</v>
      </c>
      <c r="D4090" s="25">
        <v>1</v>
      </c>
      <c r="E4090" s="25" t="s">
        <v>9</v>
      </c>
      <c r="F4090" s="38">
        <v>79200</v>
      </c>
      <c r="G4090" s="38" t="s">
        <v>669</v>
      </c>
      <c r="H4090" s="25" t="str">
        <f t="shared" si="130"/>
        <v>平成6年9月14日</v>
      </c>
      <c r="I4090" s="39">
        <f t="shared" si="131"/>
        <v>34591</v>
      </c>
      <c r="J4090" s="25" t="str">
        <f>"00747475"</f>
        <v>00747475</v>
      </c>
      <c r="K4090" s="25" t="str">
        <f>"３７３　　　　　　　　　　　　　　　　　"</f>
        <v>３７３　　　　　　　　　　　　　　　　　</v>
      </c>
      <c r="L4090" s="25"/>
    </row>
    <row r="4091" spans="1:12" s="40" customFormat="1" ht="18" customHeight="1" x14ac:dyDescent="0.15">
      <c r="A4091" s="25">
        <v>5121</v>
      </c>
      <c r="B4091" s="25" t="s">
        <v>35</v>
      </c>
      <c r="C4091" s="25" t="s">
        <v>531</v>
      </c>
      <c r="D4091" s="25">
        <v>1</v>
      </c>
      <c r="E4091" s="25" t="s">
        <v>9</v>
      </c>
      <c r="F4091" s="38">
        <v>79200</v>
      </c>
      <c r="G4091" s="38" t="s">
        <v>669</v>
      </c>
      <c r="H4091" s="25" t="str">
        <f t="shared" si="130"/>
        <v>平成6年9月14日</v>
      </c>
      <c r="I4091" s="39">
        <f t="shared" si="131"/>
        <v>34591</v>
      </c>
      <c r="J4091" s="25" t="str">
        <f>"00747477"</f>
        <v>00747477</v>
      </c>
      <c r="K4091" s="25" t="str">
        <f>"３７４　　　　　　　　　　　　　　　　　"</f>
        <v>３７４　　　　　　　　　　　　　　　　　</v>
      </c>
      <c r="L4091" s="25"/>
    </row>
    <row r="4092" spans="1:12" s="40" customFormat="1" ht="18" customHeight="1" x14ac:dyDescent="0.15">
      <c r="A4092" s="25">
        <v>5122</v>
      </c>
      <c r="B4092" s="25" t="s">
        <v>35</v>
      </c>
      <c r="C4092" s="25" t="s">
        <v>531</v>
      </c>
      <c r="D4092" s="25">
        <v>1</v>
      </c>
      <c r="E4092" s="25" t="s">
        <v>9</v>
      </c>
      <c r="F4092" s="38">
        <v>79200</v>
      </c>
      <c r="G4092" s="38" t="s">
        <v>669</v>
      </c>
      <c r="H4092" s="25" t="str">
        <f t="shared" si="130"/>
        <v>平成6年9月14日</v>
      </c>
      <c r="I4092" s="39">
        <f t="shared" si="131"/>
        <v>34591</v>
      </c>
      <c r="J4092" s="25" t="str">
        <f>"00747479"</f>
        <v>00747479</v>
      </c>
      <c r="K4092" s="25" t="str">
        <f>"３７５　　　　　　　　　　　　　　　　　"</f>
        <v>３７５　　　　　　　　　　　　　　　　　</v>
      </c>
      <c r="L4092" s="25"/>
    </row>
    <row r="4093" spans="1:12" s="40" customFormat="1" ht="18" customHeight="1" x14ac:dyDescent="0.15">
      <c r="A4093" s="25">
        <v>5123</v>
      </c>
      <c r="B4093" s="25" t="s">
        <v>35</v>
      </c>
      <c r="C4093" s="25" t="s">
        <v>531</v>
      </c>
      <c r="D4093" s="25">
        <v>1</v>
      </c>
      <c r="E4093" s="25" t="s">
        <v>9</v>
      </c>
      <c r="F4093" s="38">
        <v>79200</v>
      </c>
      <c r="G4093" s="38" t="s">
        <v>669</v>
      </c>
      <c r="H4093" s="25" t="str">
        <f t="shared" si="130"/>
        <v>平成6年9月14日</v>
      </c>
      <c r="I4093" s="39">
        <f t="shared" si="131"/>
        <v>34591</v>
      </c>
      <c r="J4093" s="25" t="str">
        <f>"00747481"</f>
        <v>00747481</v>
      </c>
      <c r="K4093" s="25" t="str">
        <f>"３７６　　　　　　　　　　　　　　　　　"</f>
        <v>３７６　　　　　　　　　　　　　　　　　</v>
      </c>
      <c r="L4093" s="25"/>
    </row>
    <row r="4094" spans="1:12" s="40" customFormat="1" ht="18" customHeight="1" x14ac:dyDescent="0.15">
      <c r="A4094" s="25">
        <v>5124</v>
      </c>
      <c r="B4094" s="25" t="s">
        <v>35</v>
      </c>
      <c r="C4094" s="25" t="s">
        <v>531</v>
      </c>
      <c r="D4094" s="25">
        <v>1</v>
      </c>
      <c r="E4094" s="25" t="s">
        <v>9</v>
      </c>
      <c r="F4094" s="38">
        <v>79200</v>
      </c>
      <c r="G4094" s="38" t="s">
        <v>669</v>
      </c>
      <c r="H4094" s="25" t="str">
        <f t="shared" si="130"/>
        <v>平成6年9月14日</v>
      </c>
      <c r="I4094" s="39">
        <f t="shared" si="131"/>
        <v>34591</v>
      </c>
      <c r="J4094" s="25" t="str">
        <f>"00747483"</f>
        <v>00747483</v>
      </c>
      <c r="K4094" s="25" t="str">
        <f>"３７７　　　　　　　　　　　　　　　　　"</f>
        <v>３７７　　　　　　　　　　　　　　　　　</v>
      </c>
      <c r="L4094" s="25"/>
    </row>
    <row r="4095" spans="1:12" s="40" customFormat="1" ht="18" customHeight="1" x14ac:dyDescent="0.15">
      <c r="A4095" s="25">
        <v>5125</v>
      </c>
      <c r="B4095" s="25" t="s">
        <v>35</v>
      </c>
      <c r="C4095" s="25" t="s">
        <v>531</v>
      </c>
      <c r="D4095" s="25">
        <v>1</v>
      </c>
      <c r="E4095" s="25" t="s">
        <v>9</v>
      </c>
      <c r="F4095" s="38">
        <v>79200</v>
      </c>
      <c r="G4095" s="38" t="s">
        <v>669</v>
      </c>
      <c r="H4095" s="25" t="str">
        <f t="shared" si="130"/>
        <v>平成6年9月14日</v>
      </c>
      <c r="I4095" s="39">
        <f t="shared" si="131"/>
        <v>34591</v>
      </c>
      <c r="J4095" s="25" t="str">
        <f>"00747485"</f>
        <v>00747485</v>
      </c>
      <c r="K4095" s="25" t="str">
        <f>"３７８　　　　　　　　　　　　　　　　　"</f>
        <v>３７８　　　　　　　　　　　　　　　　　</v>
      </c>
      <c r="L4095" s="25"/>
    </row>
    <row r="4096" spans="1:12" s="40" customFormat="1" ht="18" customHeight="1" x14ac:dyDescent="0.15">
      <c r="A4096" s="25">
        <v>5126</v>
      </c>
      <c r="B4096" s="25" t="s">
        <v>35</v>
      </c>
      <c r="C4096" s="25" t="s">
        <v>532</v>
      </c>
      <c r="D4096" s="25">
        <v>1</v>
      </c>
      <c r="E4096" s="25" t="s">
        <v>9</v>
      </c>
      <c r="F4096" s="38">
        <v>43700</v>
      </c>
      <c r="G4096" s="38" t="s">
        <v>669</v>
      </c>
      <c r="H4096" s="25" t="str">
        <f t="shared" si="130"/>
        <v>平成6年9月14日</v>
      </c>
      <c r="I4096" s="39">
        <f t="shared" si="131"/>
        <v>34591</v>
      </c>
      <c r="J4096" s="25" t="str">
        <f>"00747487"</f>
        <v>00747487</v>
      </c>
      <c r="K4096" s="25" t="str">
        <f>"３８１　　　　　　　　　　　　　　　　　"</f>
        <v>３８１　　　　　　　　　　　　　　　　　</v>
      </c>
      <c r="L4096" s="25"/>
    </row>
    <row r="4097" spans="1:12" s="40" customFormat="1" ht="18" customHeight="1" x14ac:dyDescent="0.15">
      <c r="A4097" s="25">
        <v>5127</v>
      </c>
      <c r="B4097" s="25" t="s">
        <v>35</v>
      </c>
      <c r="C4097" s="25" t="s">
        <v>532</v>
      </c>
      <c r="D4097" s="25">
        <v>1</v>
      </c>
      <c r="E4097" s="25" t="s">
        <v>9</v>
      </c>
      <c r="F4097" s="38">
        <v>43700</v>
      </c>
      <c r="G4097" s="38" t="s">
        <v>669</v>
      </c>
      <c r="H4097" s="25" t="str">
        <f t="shared" si="130"/>
        <v>平成6年9月14日</v>
      </c>
      <c r="I4097" s="39">
        <f t="shared" si="131"/>
        <v>34591</v>
      </c>
      <c r="J4097" s="25" t="str">
        <f>"00747489"</f>
        <v>00747489</v>
      </c>
      <c r="K4097" s="25" t="str">
        <f>"３８２　　　　　　　　　　　　　　　　　"</f>
        <v>３８２　　　　　　　　　　　　　　　　　</v>
      </c>
      <c r="L4097" s="25"/>
    </row>
    <row r="4098" spans="1:12" s="40" customFormat="1" ht="18" customHeight="1" x14ac:dyDescent="0.15">
      <c r="A4098" s="25">
        <v>5128</v>
      </c>
      <c r="B4098" s="25" t="s">
        <v>35</v>
      </c>
      <c r="C4098" s="25" t="s">
        <v>532</v>
      </c>
      <c r="D4098" s="25">
        <v>1</v>
      </c>
      <c r="E4098" s="25" t="s">
        <v>9</v>
      </c>
      <c r="F4098" s="38">
        <v>43700</v>
      </c>
      <c r="G4098" s="38" t="s">
        <v>669</v>
      </c>
      <c r="H4098" s="25" t="str">
        <f t="shared" si="130"/>
        <v>平成6年9月14日</v>
      </c>
      <c r="I4098" s="39">
        <f t="shared" si="131"/>
        <v>34591</v>
      </c>
      <c r="J4098" s="25" t="str">
        <f>"00747491"</f>
        <v>00747491</v>
      </c>
      <c r="K4098" s="25" t="str">
        <f>"３８３　　　　　　　　　　　　　　　　　"</f>
        <v>３８３　　　　　　　　　　　　　　　　　</v>
      </c>
      <c r="L4098" s="25"/>
    </row>
    <row r="4099" spans="1:12" s="40" customFormat="1" ht="18" customHeight="1" x14ac:dyDescent="0.15">
      <c r="A4099" s="25">
        <v>5129</v>
      </c>
      <c r="B4099" s="25" t="s">
        <v>35</v>
      </c>
      <c r="C4099" s="25" t="s">
        <v>532</v>
      </c>
      <c r="D4099" s="25">
        <v>1</v>
      </c>
      <c r="E4099" s="25" t="s">
        <v>9</v>
      </c>
      <c r="F4099" s="38">
        <v>43700</v>
      </c>
      <c r="G4099" s="38" t="s">
        <v>669</v>
      </c>
      <c r="H4099" s="25" t="str">
        <f t="shared" si="130"/>
        <v>平成6年9月14日</v>
      </c>
      <c r="I4099" s="39">
        <f t="shared" si="131"/>
        <v>34591</v>
      </c>
      <c r="J4099" s="25" t="str">
        <f>"00747493"</f>
        <v>00747493</v>
      </c>
      <c r="K4099" s="25" t="str">
        <f>"３８４　　　　　　　　　　　　　　　　　"</f>
        <v>３８４　　　　　　　　　　　　　　　　　</v>
      </c>
      <c r="L4099" s="25"/>
    </row>
    <row r="4100" spans="1:12" s="40" customFormat="1" ht="18" customHeight="1" x14ac:dyDescent="0.15">
      <c r="A4100" s="25">
        <v>5130</v>
      </c>
      <c r="B4100" s="25" t="s">
        <v>35</v>
      </c>
      <c r="C4100" s="25" t="s">
        <v>532</v>
      </c>
      <c r="D4100" s="25">
        <v>1</v>
      </c>
      <c r="E4100" s="25" t="s">
        <v>9</v>
      </c>
      <c r="F4100" s="38">
        <v>43700</v>
      </c>
      <c r="G4100" s="38" t="s">
        <v>669</v>
      </c>
      <c r="H4100" s="25" t="str">
        <f t="shared" si="130"/>
        <v>平成6年9月14日</v>
      </c>
      <c r="I4100" s="39">
        <f t="shared" si="131"/>
        <v>34591</v>
      </c>
      <c r="J4100" s="25" t="str">
        <f>"00747495"</f>
        <v>00747495</v>
      </c>
      <c r="K4100" s="25" t="str">
        <f>"３８５　　　　　　　　　　　　　　　　　"</f>
        <v>３８５　　　　　　　　　　　　　　　　　</v>
      </c>
      <c r="L4100" s="25"/>
    </row>
    <row r="4101" spans="1:12" s="40" customFormat="1" ht="18" customHeight="1" x14ac:dyDescent="0.15">
      <c r="A4101" s="25">
        <v>5131</v>
      </c>
      <c r="B4101" s="25" t="s">
        <v>35</v>
      </c>
      <c r="C4101" s="25" t="s">
        <v>532</v>
      </c>
      <c r="D4101" s="25">
        <v>1</v>
      </c>
      <c r="E4101" s="25" t="s">
        <v>9</v>
      </c>
      <c r="F4101" s="38">
        <v>43700</v>
      </c>
      <c r="G4101" s="38" t="s">
        <v>669</v>
      </c>
      <c r="H4101" s="25" t="str">
        <f t="shared" si="130"/>
        <v>平成6年9月14日</v>
      </c>
      <c r="I4101" s="39">
        <f t="shared" si="131"/>
        <v>34591</v>
      </c>
      <c r="J4101" s="25" t="str">
        <f>"00747497"</f>
        <v>00747497</v>
      </c>
      <c r="K4101" s="25" t="str">
        <f>"３８６　　　　　　　　　　　　　　　　　"</f>
        <v>３８６　　　　　　　　　　　　　　　　　</v>
      </c>
      <c r="L4101" s="25"/>
    </row>
    <row r="4102" spans="1:12" s="40" customFormat="1" ht="18" customHeight="1" x14ac:dyDescent="0.15">
      <c r="A4102" s="25">
        <v>5132</v>
      </c>
      <c r="B4102" s="25" t="s">
        <v>35</v>
      </c>
      <c r="C4102" s="25" t="s">
        <v>532</v>
      </c>
      <c r="D4102" s="25">
        <v>1</v>
      </c>
      <c r="E4102" s="25" t="s">
        <v>9</v>
      </c>
      <c r="F4102" s="38">
        <v>43700</v>
      </c>
      <c r="G4102" s="38" t="s">
        <v>669</v>
      </c>
      <c r="H4102" s="25" t="str">
        <f t="shared" si="130"/>
        <v>平成6年9月14日</v>
      </c>
      <c r="I4102" s="39">
        <f t="shared" si="131"/>
        <v>34591</v>
      </c>
      <c r="J4102" s="25" t="str">
        <f>"00747499"</f>
        <v>00747499</v>
      </c>
      <c r="K4102" s="25" t="str">
        <f>"３８７　　　　　　　　　　　　　　　　　"</f>
        <v>３８７　　　　　　　　　　　　　　　　　</v>
      </c>
      <c r="L4102" s="25"/>
    </row>
    <row r="4103" spans="1:12" s="40" customFormat="1" ht="18" customHeight="1" x14ac:dyDescent="0.15">
      <c r="A4103" s="25">
        <v>5133</v>
      </c>
      <c r="B4103" s="25" t="s">
        <v>35</v>
      </c>
      <c r="C4103" s="25" t="s">
        <v>532</v>
      </c>
      <c r="D4103" s="25">
        <v>1</v>
      </c>
      <c r="E4103" s="25" t="s">
        <v>9</v>
      </c>
      <c r="F4103" s="38">
        <v>43700</v>
      </c>
      <c r="G4103" s="38" t="s">
        <v>669</v>
      </c>
      <c r="H4103" s="25" t="str">
        <f t="shared" si="130"/>
        <v>平成6年9月14日</v>
      </c>
      <c r="I4103" s="39">
        <f t="shared" si="131"/>
        <v>34591</v>
      </c>
      <c r="J4103" s="25" t="str">
        <f>"00747501"</f>
        <v>00747501</v>
      </c>
      <c r="K4103" s="25" t="str">
        <f>"３８８　　　　　　　　　　　　　　　　　"</f>
        <v>３８８　　　　　　　　　　　　　　　　　</v>
      </c>
      <c r="L4103" s="25"/>
    </row>
    <row r="4104" spans="1:12" s="40" customFormat="1" ht="18" customHeight="1" x14ac:dyDescent="0.15">
      <c r="A4104" s="25">
        <v>5134</v>
      </c>
      <c r="B4104" s="25" t="s">
        <v>35</v>
      </c>
      <c r="C4104" s="25" t="s">
        <v>532</v>
      </c>
      <c r="D4104" s="25">
        <v>1</v>
      </c>
      <c r="E4104" s="25" t="s">
        <v>9</v>
      </c>
      <c r="F4104" s="38">
        <v>43700</v>
      </c>
      <c r="G4104" s="38" t="s">
        <v>669</v>
      </c>
      <c r="H4104" s="25" t="str">
        <f t="shared" si="130"/>
        <v>平成6年9月14日</v>
      </c>
      <c r="I4104" s="39">
        <f t="shared" si="131"/>
        <v>34591</v>
      </c>
      <c r="J4104" s="25" t="str">
        <f>"00747503"</f>
        <v>00747503</v>
      </c>
      <c r="K4104" s="25" t="str">
        <f>"３８９　　　　　　　　　　　　　　　　　"</f>
        <v>３８９　　　　　　　　　　　　　　　　　</v>
      </c>
      <c r="L4104" s="25"/>
    </row>
    <row r="4105" spans="1:12" s="40" customFormat="1" ht="18" customHeight="1" x14ac:dyDescent="0.15">
      <c r="A4105" s="25">
        <v>5135</v>
      </c>
      <c r="B4105" s="25" t="s">
        <v>35</v>
      </c>
      <c r="C4105" s="25" t="s">
        <v>532</v>
      </c>
      <c r="D4105" s="25">
        <v>1</v>
      </c>
      <c r="E4105" s="25" t="s">
        <v>9</v>
      </c>
      <c r="F4105" s="38">
        <v>43700</v>
      </c>
      <c r="G4105" s="38" t="s">
        <v>669</v>
      </c>
      <c r="H4105" s="25" t="str">
        <f t="shared" si="130"/>
        <v>平成6年9月14日</v>
      </c>
      <c r="I4105" s="39">
        <f t="shared" si="131"/>
        <v>34591</v>
      </c>
      <c r="J4105" s="25" t="str">
        <f>"00747505"</f>
        <v>00747505</v>
      </c>
      <c r="K4105" s="25" t="str">
        <f>"３９０　　　　　　　　　　　　　　　　　"</f>
        <v>３９０　　　　　　　　　　　　　　　　　</v>
      </c>
      <c r="L4105" s="25"/>
    </row>
    <row r="4106" spans="1:12" s="40" customFormat="1" ht="18" customHeight="1" x14ac:dyDescent="0.15">
      <c r="A4106" s="25">
        <v>5136</v>
      </c>
      <c r="B4106" s="25" t="s">
        <v>35</v>
      </c>
      <c r="C4106" s="25" t="s">
        <v>532</v>
      </c>
      <c r="D4106" s="25">
        <v>1</v>
      </c>
      <c r="E4106" s="25" t="s">
        <v>9</v>
      </c>
      <c r="F4106" s="38">
        <v>43700</v>
      </c>
      <c r="G4106" s="38" t="s">
        <v>669</v>
      </c>
      <c r="H4106" s="25" t="str">
        <f t="shared" si="130"/>
        <v>平成6年9月14日</v>
      </c>
      <c r="I4106" s="39">
        <f t="shared" si="131"/>
        <v>34591</v>
      </c>
      <c r="J4106" s="25" t="str">
        <f>"00747507"</f>
        <v>00747507</v>
      </c>
      <c r="K4106" s="25" t="str">
        <f>"３９１　　　　　　　　　　　　　　　　　"</f>
        <v>３９１　　　　　　　　　　　　　　　　　</v>
      </c>
      <c r="L4106" s="25"/>
    </row>
    <row r="4107" spans="1:12" s="40" customFormat="1" ht="18" customHeight="1" x14ac:dyDescent="0.15">
      <c r="A4107" s="25">
        <v>5137</v>
      </c>
      <c r="B4107" s="25" t="s">
        <v>35</v>
      </c>
      <c r="C4107" s="25" t="s">
        <v>532</v>
      </c>
      <c r="D4107" s="25">
        <v>1</v>
      </c>
      <c r="E4107" s="25" t="s">
        <v>9</v>
      </c>
      <c r="F4107" s="38">
        <v>43700</v>
      </c>
      <c r="G4107" s="38" t="s">
        <v>669</v>
      </c>
      <c r="H4107" s="25" t="str">
        <f t="shared" si="130"/>
        <v>平成6年9月14日</v>
      </c>
      <c r="I4107" s="39">
        <f t="shared" si="131"/>
        <v>34591</v>
      </c>
      <c r="J4107" s="25" t="str">
        <f>"00747509"</f>
        <v>00747509</v>
      </c>
      <c r="K4107" s="25" t="str">
        <f>"３９２　　　　　　　　　　　　　　　　　"</f>
        <v>３９２　　　　　　　　　　　　　　　　　</v>
      </c>
      <c r="L4107" s="25"/>
    </row>
    <row r="4108" spans="1:12" s="40" customFormat="1" ht="18" customHeight="1" x14ac:dyDescent="0.15">
      <c r="A4108" s="25">
        <v>5138</v>
      </c>
      <c r="B4108" s="25" t="s">
        <v>35</v>
      </c>
      <c r="C4108" s="25" t="s">
        <v>532</v>
      </c>
      <c r="D4108" s="25">
        <v>1</v>
      </c>
      <c r="E4108" s="25" t="s">
        <v>9</v>
      </c>
      <c r="F4108" s="38">
        <v>43700</v>
      </c>
      <c r="G4108" s="38" t="s">
        <v>669</v>
      </c>
      <c r="H4108" s="25" t="str">
        <f t="shared" si="130"/>
        <v>平成6年9月14日</v>
      </c>
      <c r="I4108" s="39">
        <f t="shared" si="131"/>
        <v>34591</v>
      </c>
      <c r="J4108" s="25" t="str">
        <f>"00747511"</f>
        <v>00747511</v>
      </c>
      <c r="K4108" s="25" t="str">
        <f>"３９３　　　　　　　　　　　　　　　　　"</f>
        <v>３９３　　　　　　　　　　　　　　　　　</v>
      </c>
      <c r="L4108" s="25"/>
    </row>
    <row r="4109" spans="1:12" s="40" customFormat="1" ht="18" customHeight="1" x14ac:dyDescent="0.15">
      <c r="A4109" s="25">
        <v>5139</v>
      </c>
      <c r="B4109" s="25" t="s">
        <v>35</v>
      </c>
      <c r="C4109" s="25" t="s">
        <v>533</v>
      </c>
      <c r="D4109" s="25">
        <v>1</v>
      </c>
      <c r="E4109" s="25" t="s">
        <v>9</v>
      </c>
      <c r="F4109" s="38">
        <v>42500</v>
      </c>
      <c r="G4109" s="38" t="s">
        <v>669</v>
      </c>
      <c r="H4109" s="25" t="str">
        <f t="shared" si="130"/>
        <v>平成6年9月14日</v>
      </c>
      <c r="I4109" s="39">
        <f t="shared" si="131"/>
        <v>34591</v>
      </c>
      <c r="J4109" s="25" t="str">
        <f>"00747513"</f>
        <v>00747513</v>
      </c>
      <c r="K4109" s="25" t="str">
        <f>"４３９　　　　　　　　　　　　　　　　　"</f>
        <v>４３９　　　　　　　　　　　　　　　　　</v>
      </c>
      <c r="L4109" s="25"/>
    </row>
    <row r="4110" spans="1:12" s="40" customFormat="1" ht="18" customHeight="1" x14ac:dyDescent="0.15">
      <c r="A4110" s="25">
        <v>5140</v>
      </c>
      <c r="B4110" s="25" t="s">
        <v>35</v>
      </c>
      <c r="C4110" s="25" t="s">
        <v>533</v>
      </c>
      <c r="D4110" s="25">
        <v>1</v>
      </c>
      <c r="E4110" s="25" t="s">
        <v>9</v>
      </c>
      <c r="F4110" s="38">
        <v>42500</v>
      </c>
      <c r="G4110" s="38" t="s">
        <v>669</v>
      </c>
      <c r="H4110" s="25" t="str">
        <f t="shared" si="130"/>
        <v>平成6年9月14日</v>
      </c>
      <c r="I4110" s="39">
        <f t="shared" si="131"/>
        <v>34591</v>
      </c>
      <c r="J4110" s="25" t="str">
        <f>"00747515"</f>
        <v>00747515</v>
      </c>
      <c r="K4110" s="25" t="str">
        <f>"４４０　　　　　　　　　　　　　　　　　"</f>
        <v>４４０　　　　　　　　　　　　　　　　　</v>
      </c>
      <c r="L4110" s="25"/>
    </row>
    <row r="4111" spans="1:12" s="40" customFormat="1" ht="18" customHeight="1" x14ac:dyDescent="0.15">
      <c r="A4111" s="25">
        <v>5141</v>
      </c>
      <c r="B4111" s="25" t="s">
        <v>35</v>
      </c>
      <c r="C4111" s="25" t="s">
        <v>533</v>
      </c>
      <c r="D4111" s="25">
        <v>1</v>
      </c>
      <c r="E4111" s="25" t="s">
        <v>9</v>
      </c>
      <c r="F4111" s="38">
        <v>42500</v>
      </c>
      <c r="G4111" s="38" t="s">
        <v>669</v>
      </c>
      <c r="H4111" s="25" t="str">
        <f t="shared" ref="H4111:H4174" si="132">"平成6年9月14日"</f>
        <v>平成6年9月14日</v>
      </c>
      <c r="I4111" s="39">
        <f t="shared" si="131"/>
        <v>34591</v>
      </c>
      <c r="J4111" s="25" t="str">
        <f>"00747517"</f>
        <v>00747517</v>
      </c>
      <c r="K4111" s="25" t="str">
        <f>"４４１　　　　　　　　　　　　　　　　　"</f>
        <v>４４１　　　　　　　　　　　　　　　　　</v>
      </c>
      <c r="L4111" s="25"/>
    </row>
    <row r="4112" spans="1:12" s="40" customFormat="1" ht="18" customHeight="1" x14ac:dyDescent="0.15">
      <c r="A4112" s="25">
        <v>5142</v>
      </c>
      <c r="B4112" s="25" t="s">
        <v>35</v>
      </c>
      <c r="C4112" s="25" t="s">
        <v>533</v>
      </c>
      <c r="D4112" s="25">
        <v>1</v>
      </c>
      <c r="E4112" s="25" t="s">
        <v>9</v>
      </c>
      <c r="F4112" s="38">
        <v>42500</v>
      </c>
      <c r="G4112" s="38" t="s">
        <v>669</v>
      </c>
      <c r="H4112" s="25" t="str">
        <f t="shared" si="132"/>
        <v>平成6年9月14日</v>
      </c>
      <c r="I4112" s="39">
        <f t="shared" si="131"/>
        <v>34591</v>
      </c>
      <c r="J4112" s="25" t="str">
        <f>"00747519"</f>
        <v>00747519</v>
      </c>
      <c r="K4112" s="25" t="str">
        <f>"４４２　　　　　　　　　　　　　　　　　"</f>
        <v>４４２　　　　　　　　　　　　　　　　　</v>
      </c>
      <c r="L4112" s="25"/>
    </row>
    <row r="4113" spans="1:12" s="40" customFormat="1" ht="18" customHeight="1" x14ac:dyDescent="0.15">
      <c r="A4113" s="25">
        <v>5143</v>
      </c>
      <c r="B4113" s="25" t="s">
        <v>35</v>
      </c>
      <c r="C4113" s="25" t="s">
        <v>533</v>
      </c>
      <c r="D4113" s="25">
        <v>1</v>
      </c>
      <c r="E4113" s="25" t="s">
        <v>9</v>
      </c>
      <c r="F4113" s="38">
        <v>42500</v>
      </c>
      <c r="G4113" s="38" t="s">
        <v>669</v>
      </c>
      <c r="H4113" s="25" t="str">
        <f t="shared" si="132"/>
        <v>平成6年9月14日</v>
      </c>
      <c r="I4113" s="39">
        <f t="shared" si="131"/>
        <v>34591</v>
      </c>
      <c r="J4113" s="25" t="str">
        <f>"00747521"</f>
        <v>00747521</v>
      </c>
      <c r="K4113" s="25" t="str">
        <f>"４４３　　　　　　　　　　　　　　　　　"</f>
        <v>４４３　　　　　　　　　　　　　　　　　</v>
      </c>
      <c r="L4113" s="25"/>
    </row>
    <row r="4114" spans="1:12" s="40" customFormat="1" ht="18" customHeight="1" x14ac:dyDescent="0.15">
      <c r="A4114" s="25">
        <v>5144</v>
      </c>
      <c r="B4114" s="25" t="s">
        <v>35</v>
      </c>
      <c r="C4114" s="25" t="s">
        <v>533</v>
      </c>
      <c r="D4114" s="25">
        <v>1</v>
      </c>
      <c r="E4114" s="25" t="s">
        <v>9</v>
      </c>
      <c r="F4114" s="38">
        <v>42500</v>
      </c>
      <c r="G4114" s="38" t="s">
        <v>669</v>
      </c>
      <c r="H4114" s="25" t="str">
        <f t="shared" si="132"/>
        <v>平成6年9月14日</v>
      </c>
      <c r="I4114" s="39">
        <f t="shared" ref="I4114:I4177" si="133">DATEVALUE(H4114)</f>
        <v>34591</v>
      </c>
      <c r="J4114" s="25" t="str">
        <f>"00747523"</f>
        <v>00747523</v>
      </c>
      <c r="K4114" s="25" t="str">
        <f>"４４４　　　　　　　　　　　　　　　　　"</f>
        <v>４４４　　　　　　　　　　　　　　　　　</v>
      </c>
      <c r="L4114" s="25"/>
    </row>
    <row r="4115" spans="1:12" s="40" customFormat="1" ht="18" customHeight="1" x14ac:dyDescent="0.15">
      <c r="A4115" s="25">
        <v>5145</v>
      </c>
      <c r="B4115" s="25" t="s">
        <v>35</v>
      </c>
      <c r="C4115" s="25" t="s">
        <v>533</v>
      </c>
      <c r="D4115" s="25">
        <v>1</v>
      </c>
      <c r="E4115" s="25" t="s">
        <v>9</v>
      </c>
      <c r="F4115" s="38">
        <v>42500</v>
      </c>
      <c r="G4115" s="38" t="s">
        <v>669</v>
      </c>
      <c r="H4115" s="25" t="str">
        <f t="shared" si="132"/>
        <v>平成6年9月14日</v>
      </c>
      <c r="I4115" s="39">
        <f t="shared" si="133"/>
        <v>34591</v>
      </c>
      <c r="J4115" s="25" t="str">
        <f>"00747525"</f>
        <v>00747525</v>
      </c>
      <c r="K4115" s="25" t="str">
        <f>"４４５　　　　　　　　　　　　　　　　　"</f>
        <v>４４５　　　　　　　　　　　　　　　　　</v>
      </c>
      <c r="L4115" s="25"/>
    </row>
    <row r="4116" spans="1:12" s="40" customFormat="1" ht="18" customHeight="1" x14ac:dyDescent="0.15">
      <c r="A4116" s="25">
        <v>5146</v>
      </c>
      <c r="B4116" s="25" t="s">
        <v>35</v>
      </c>
      <c r="C4116" s="25" t="s">
        <v>533</v>
      </c>
      <c r="D4116" s="25">
        <v>1</v>
      </c>
      <c r="E4116" s="25" t="s">
        <v>9</v>
      </c>
      <c r="F4116" s="38">
        <v>42500</v>
      </c>
      <c r="G4116" s="38" t="s">
        <v>669</v>
      </c>
      <c r="H4116" s="25" t="str">
        <f t="shared" si="132"/>
        <v>平成6年9月14日</v>
      </c>
      <c r="I4116" s="39">
        <f t="shared" si="133"/>
        <v>34591</v>
      </c>
      <c r="J4116" s="25" t="str">
        <f>"00747527"</f>
        <v>00747527</v>
      </c>
      <c r="K4116" s="25" t="str">
        <f>"４４６　　　　　　　　　　　　　　　　　"</f>
        <v>４４６　　　　　　　　　　　　　　　　　</v>
      </c>
      <c r="L4116" s="25"/>
    </row>
    <row r="4117" spans="1:12" s="40" customFormat="1" ht="18" customHeight="1" x14ac:dyDescent="0.15">
      <c r="A4117" s="25">
        <v>5147</v>
      </c>
      <c r="B4117" s="25" t="s">
        <v>35</v>
      </c>
      <c r="C4117" s="25" t="s">
        <v>533</v>
      </c>
      <c r="D4117" s="25">
        <v>1</v>
      </c>
      <c r="E4117" s="25" t="s">
        <v>9</v>
      </c>
      <c r="F4117" s="38">
        <v>42500</v>
      </c>
      <c r="G4117" s="38" t="s">
        <v>669</v>
      </c>
      <c r="H4117" s="25" t="str">
        <f t="shared" si="132"/>
        <v>平成6年9月14日</v>
      </c>
      <c r="I4117" s="39">
        <f t="shared" si="133"/>
        <v>34591</v>
      </c>
      <c r="J4117" s="25" t="str">
        <f>"00747529"</f>
        <v>00747529</v>
      </c>
      <c r="K4117" s="25" t="str">
        <f>"４４７　　　　　　　　　　　　　　　　　"</f>
        <v>４４７　　　　　　　　　　　　　　　　　</v>
      </c>
      <c r="L4117" s="25"/>
    </row>
    <row r="4118" spans="1:12" s="40" customFormat="1" ht="18" customHeight="1" x14ac:dyDescent="0.15">
      <c r="A4118" s="25">
        <v>5148</v>
      </c>
      <c r="B4118" s="25" t="s">
        <v>35</v>
      </c>
      <c r="C4118" s="25" t="s">
        <v>533</v>
      </c>
      <c r="D4118" s="25">
        <v>1</v>
      </c>
      <c r="E4118" s="25" t="s">
        <v>9</v>
      </c>
      <c r="F4118" s="38">
        <v>42500</v>
      </c>
      <c r="G4118" s="38" t="s">
        <v>669</v>
      </c>
      <c r="H4118" s="25" t="str">
        <f t="shared" si="132"/>
        <v>平成6年9月14日</v>
      </c>
      <c r="I4118" s="39">
        <f t="shared" si="133"/>
        <v>34591</v>
      </c>
      <c r="J4118" s="25" t="str">
        <f>"00747531"</f>
        <v>00747531</v>
      </c>
      <c r="K4118" s="25" t="str">
        <f>"４４８　　　　　　　　　　　　　　　　　"</f>
        <v>４４８　　　　　　　　　　　　　　　　　</v>
      </c>
      <c r="L4118" s="25"/>
    </row>
    <row r="4119" spans="1:12" s="40" customFormat="1" ht="18" customHeight="1" x14ac:dyDescent="0.15">
      <c r="A4119" s="25">
        <v>5149</v>
      </c>
      <c r="B4119" s="25" t="s">
        <v>35</v>
      </c>
      <c r="C4119" s="25" t="s">
        <v>533</v>
      </c>
      <c r="D4119" s="25">
        <v>1</v>
      </c>
      <c r="E4119" s="25" t="s">
        <v>9</v>
      </c>
      <c r="F4119" s="38">
        <v>42500</v>
      </c>
      <c r="G4119" s="38" t="s">
        <v>669</v>
      </c>
      <c r="H4119" s="25" t="str">
        <f t="shared" si="132"/>
        <v>平成6年9月14日</v>
      </c>
      <c r="I4119" s="39">
        <f t="shared" si="133"/>
        <v>34591</v>
      </c>
      <c r="J4119" s="25" t="str">
        <f>"00747533"</f>
        <v>00747533</v>
      </c>
      <c r="K4119" s="25" t="str">
        <f>"４４９　　　　　　　　　　　　　　　　　"</f>
        <v>４４９　　　　　　　　　　　　　　　　　</v>
      </c>
      <c r="L4119" s="25"/>
    </row>
    <row r="4120" spans="1:12" s="40" customFormat="1" ht="18" customHeight="1" x14ac:dyDescent="0.15">
      <c r="A4120" s="25">
        <v>5150</v>
      </c>
      <c r="B4120" s="25" t="s">
        <v>35</v>
      </c>
      <c r="C4120" s="25" t="s">
        <v>533</v>
      </c>
      <c r="D4120" s="25">
        <v>1</v>
      </c>
      <c r="E4120" s="25" t="s">
        <v>9</v>
      </c>
      <c r="F4120" s="38">
        <v>42500</v>
      </c>
      <c r="G4120" s="38" t="s">
        <v>669</v>
      </c>
      <c r="H4120" s="25" t="str">
        <f t="shared" si="132"/>
        <v>平成6年9月14日</v>
      </c>
      <c r="I4120" s="39">
        <f t="shared" si="133"/>
        <v>34591</v>
      </c>
      <c r="J4120" s="25" t="str">
        <f>"00747535"</f>
        <v>00747535</v>
      </c>
      <c r="K4120" s="25" t="str">
        <f>"４５０　　　　　　　　　　　　　　　　　"</f>
        <v>４５０　　　　　　　　　　　　　　　　　</v>
      </c>
      <c r="L4120" s="25"/>
    </row>
    <row r="4121" spans="1:12" s="40" customFormat="1" ht="18" customHeight="1" x14ac:dyDescent="0.15">
      <c r="A4121" s="25">
        <v>5151</v>
      </c>
      <c r="B4121" s="25" t="s">
        <v>35</v>
      </c>
      <c r="C4121" s="25" t="s">
        <v>533</v>
      </c>
      <c r="D4121" s="25">
        <v>1</v>
      </c>
      <c r="E4121" s="25" t="s">
        <v>9</v>
      </c>
      <c r="F4121" s="38">
        <v>42500</v>
      </c>
      <c r="G4121" s="38" t="s">
        <v>669</v>
      </c>
      <c r="H4121" s="25" t="str">
        <f t="shared" si="132"/>
        <v>平成6年9月14日</v>
      </c>
      <c r="I4121" s="39">
        <f t="shared" si="133"/>
        <v>34591</v>
      </c>
      <c r="J4121" s="25" t="str">
        <f>"00747537"</f>
        <v>00747537</v>
      </c>
      <c r="K4121" s="25" t="str">
        <f>"４５１　　　　　　　　　　　　　　　　　"</f>
        <v>４５１　　　　　　　　　　　　　　　　　</v>
      </c>
      <c r="L4121" s="25"/>
    </row>
    <row r="4122" spans="1:12" s="40" customFormat="1" ht="18" customHeight="1" x14ac:dyDescent="0.15">
      <c r="A4122" s="25">
        <v>5152</v>
      </c>
      <c r="B4122" s="25" t="s">
        <v>35</v>
      </c>
      <c r="C4122" s="25" t="s">
        <v>533</v>
      </c>
      <c r="D4122" s="25">
        <v>1</v>
      </c>
      <c r="E4122" s="25" t="s">
        <v>9</v>
      </c>
      <c r="F4122" s="38">
        <v>42500</v>
      </c>
      <c r="G4122" s="38" t="s">
        <v>669</v>
      </c>
      <c r="H4122" s="25" t="str">
        <f t="shared" si="132"/>
        <v>平成6年9月14日</v>
      </c>
      <c r="I4122" s="39">
        <f t="shared" si="133"/>
        <v>34591</v>
      </c>
      <c r="J4122" s="25" t="str">
        <f>"00747539"</f>
        <v>00747539</v>
      </c>
      <c r="K4122" s="25" t="str">
        <f>"４５２　　　　　　　　　　　　　　　　　"</f>
        <v>４５２　　　　　　　　　　　　　　　　　</v>
      </c>
      <c r="L4122" s="25"/>
    </row>
    <row r="4123" spans="1:12" s="40" customFormat="1" ht="18" customHeight="1" x14ac:dyDescent="0.15">
      <c r="A4123" s="25">
        <v>5153</v>
      </c>
      <c r="B4123" s="25" t="s">
        <v>35</v>
      </c>
      <c r="C4123" s="25" t="s">
        <v>533</v>
      </c>
      <c r="D4123" s="25">
        <v>1</v>
      </c>
      <c r="E4123" s="25" t="s">
        <v>9</v>
      </c>
      <c r="F4123" s="38">
        <v>42500</v>
      </c>
      <c r="G4123" s="38" t="s">
        <v>669</v>
      </c>
      <c r="H4123" s="25" t="str">
        <f t="shared" si="132"/>
        <v>平成6年9月14日</v>
      </c>
      <c r="I4123" s="39">
        <f t="shared" si="133"/>
        <v>34591</v>
      </c>
      <c r="J4123" s="25" t="str">
        <f>"00747541"</f>
        <v>00747541</v>
      </c>
      <c r="K4123" s="25" t="str">
        <f>"４５３　　　　　　　　　　　　　　　　　"</f>
        <v>４５３　　　　　　　　　　　　　　　　　</v>
      </c>
      <c r="L4123" s="25"/>
    </row>
    <row r="4124" spans="1:12" s="40" customFormat="1" ht="18" customHeight="1" x14ac:dyDescent="0.15">
      <c r="A4124" s="25">
        <v>5154</v>
      </c>
      <c r="B4124" s="25" t="s">
        <v>35</v>
      </c>
      <c r="C4124" s="25" t="s">
        <v>533</v>
      </c>
      <c r="D4124" s="25">
        <v>1</v>
      </c>
      <c r="E4124" s="25" t="s">
        <v>9</v>
      </c>
      <c r="F4124" s="38">
        <v>42500</v>
      </c>
      <c r="G4124" s="38" t="s">
        <v>669</v>
      </c>
      <c r="H4124" s="25" t="str">
        <f t="shared" si="132"/>
        <v>平成6年9月14日</v>
      </c>
      <c r="I4124" s="39">
        <f t="shared" si="133"/>
        <v>34591</v>
      </c>
      <c r="J4124" s="25" t="str">
        <f>"00747543"</f>
        <v>00747543</v>
      </c>
      <c r="K4124" s="25" t="str">
        <f>"４５４　　　　　　　　　　　　　　　　　"</f>
        <v>４５４　　　　　　　　　　　　　　　　　</v>
      </c>
      <c r="L4124" s="25"/>
    </row>
    <row r="4125" spans="1:12" s="40" customFormat="1" ht="18" customHeight="1" x14ac:dyDescent="0.15">
      <c r="A4125" s="25">
        <v>5155</v>
      </c>
      <c r="B4125" s="25" t="s">
        <v>35</v>
      </c>
      <c r="C4125" s="25" t="s">
        <v>533</v>
      </c>
      <c r="D4125" s="25">
        <v>1</v>
      </c>
      <c r="E4125" s="25" t="s">
        <v>9</v>
      </c>
      <c r="F4125" s="38">
        <v>42500</v>
      </c>
      <c r="G4125" s="38" t="s">
        <v>669</v>
      </c>
      <c r="H4125" s="25" t="str">
        <f t="shared" si="132"/>
        <v>平成6年9月14日</v>
      </c>
      <c r="I4125" s="39">
        <f t="shared" si="133"/>
        <v>34591</v>
      </c>
      <c r="J4125" s="25" t="str">
        <f>"00747545"</f>
        <v>00747545</v>
      </c>
      <c r="K4125" s="25" t="str">
        <f>"４５５　　　　　　　　　　　　　　　　　"</f>
        <v>４５５　　　　　　　　　　　　　　　　　</v>
      </c>
      <c r="L4125" s="25"/>
    </row>
    <row r="4126" spans="1:12" s="40" customFormat="1" ht="18" customHeight="1" x14ac:dyDescent="0.15">
      <c r="A4126" s="25">
        <v>5156</v>
      </c>
      <c r="B4126" s="25" t="s">
        <v>35</v>
      </c>
      <c r="C4126" s="25" t="s">
        <v>533</v>
      </c>
      <c r="D4126" s="25">
        <v>1</v>
      </c>
      <c r="E4126" s="25" t="s">
        <v>9</v>
      </c>
      <c r="F4126" s="38">
        <v>42500</v>
      </c>
      <c r="G4126" s="38" t="s">
        <v>669</v>
      </c>
      <c r="H4126" s="25" t="str">
        <f t="shared" si="132"/>
        <v>平成6年9月14日</v>
      </c>
      <c r="I4126" s="39">
        <f t="shared" si="133"/>
        <v>34591</v>
      </c>
      <c r="J4126" s="25" t="str">
        <f>"00747547"</f>
        <v>00747547</v>
      </c>
      <c r="K4126" s="25" t="str">
        <f>"４５６　　　　　　　　　　　　　　　　　"</f>
        <v>４５６　　　　　　　　　　　　　　　　　</v>
      </c>
      <c r="L4126" s="25"/>
    </row>
    <row r="4127" spans="1:12" s="40" customFormat="1" ht="18" customHeight="1" x14ac:dyDescent="0.15">
      <c r="A4127" s="25">
        <v>5157</v>
      </c>
      <c r="B4127" s="25" t="s">
        <v>35</v>
      </c>
      <c r="C4127" s="25" t="s">
        <v>533</v>
      </c>
      <c r="D4127" s="25">
        <v>1</v>
      </c>
      <c r="E4127" s="25" t="s">
        <v>9</v>
      </c>
      <c r="F4127" s="38">
        <v>42500</v>
      </c>
      <c r="G4127" s="38" t="s">
        <v>669</v>
      </c>
      <c r="H4127" s="25" t="str">
        <f t="shared" si="132"/>
        <v>平成6年9月14日</v>
      </c>
      <c r="I4127" s="39">
        <f t="shared" si="133"/>
        <v>34591</v>
      </c>
      <c r="J4127" s="25" t="str">
        <f>"00747549"</f>
        <v>00747549</v>
      </c>
      <c r="K4127" s="25" t="str">
        <f>"４５７　　　　　　　　　　　　　　　　　"</f>
        <v>４５７　　　　　　　　　　　　　　　　　</v>
      </c>
      <c r="L4127" s="25"/>
    </row>
    <row r="4128" spans="1:12" s="40" customFormat="1" ht="18" customHeight="1" x14ac:dyDescent="0.15">
      <c r="A4128" s="25">
        <v>5158</v>
      </c>
      <c r="B4128" s="25" t="s">
        <v>35</v>
      </c>
      <c r="C4128" s="25" t="s">
        <v>533</v>
      </c>
      <c r="D4128" s="25">
        <v>1</v>
      </c>
      <c r="E4128" s="25" t="s">
        <v>9</v>
      </c>
      <c r="F4128" s="38">
        <v>42500</v>
      </c>
      <c r="G4128" s="38" t="s">
        <v>669</v>
      </c>
      <c r="H4128" s="25" t="str">
        <f t="shared" si="132"/>
        <v>平成6年9月14日</v>
      </c>
      <c r="I4128" s="39">
        <f t="shared" si="133"/>
        <v>34591</v>
      </c>
      <c r="J4128" s="25" t="str">
        <f>"00747551"</f>
        <v>00747551</v>
      </c>
      <c r="K4128" s="25" t="str">
        <f>"４５８　　　　　　　　　　　　　　　　　"</f>
        <v>４５８　　　　　　　　　　　　　　　　　</v>
      </c>
      <c r="L4128" s="25"/>
    </row>
    <row r="4129" spans="1:12" s="40" customFormat="1" ht="18" customHeight="1" x14ac:dyDescent="0.15">
      <c r="A4129" s="25">
        <v>5159</v>
      </c>
      <c r="B4129" s="25" t="s">
        <v>35</v>
      </c>
      <c r="C4129" s="25" t="s">
        <v>533</v>
      </c>
      <c r="D4129" s="25">
        <v>1</v>
      </c>
      <c r="E4129" s="25" t="s">
        <v>9</v>
      </c>
      <c r="F4129" s="38">
        <v>42500</v>
      </c>
      <c r="G4129" s="38" t="s">
        <v>669</v>
      </c>
      <c r="H4129" s="25" t="str">
        <f t="shared" si="132"/>
        <v>平成6年9月14日</v>
      </c>
      <c r="I4129" s="39">
        <f t="shared" si="133"/>
        <v>34591</v>
      </c>
      <c r="J4129" s="25" t="str">
        <f>"00747553"</f>
        <v>00747553</v>
      </c>
      <c r="K4129" s="25" t="str">
        <f>"４５９　　　　　　　　　　　　　　　　　"</f>
        <v>４５９　　　　　　　　　　　　　　　　　</v>
      </c>
      <c r="L4129" s="25"/>
    </row>
    <row r="4130" spans="1:12" s="40" customFormat="1" ht="18" customHeight="1" x14ac:dyDescent="0.15">
      <c r="A4130" s="25">
        <v>5160</v>
      </c>
      <c r="B4130" s="25" t="s">
        <v>35</v>
      </c>
      <c r="C4130" s="25" t="s">
        <v>533</v>
      </c>
      <c r="D4130" s="25">
        <v>1</v>
      </c>
      <c r="E4130" s="25" t="s">
        <v>9</v>
      </c>
      <c r="F4130" s="38">
        <v>42500</v>
      </c>
      <c r="G4130" s="38" t="s">
        <v>669</v>
      </c>
      <c r="H4130" s="25" t="str">
        <f t="shared" si="132"/>
        <v>平成6年9月14日</v>
      </c>
      <c r="I4130" s="39">
        <f t="shared" si="133"/>
        <v>34591</v>
      </c>
      <c r="J4130" s="25" t="str">
        <f>"00747555"</f>
        <v>00747555</v>
      </c>
      <c r="K4130" s="25" t="str">
        <f>"４６０　　　　　　　　　　　　　　　　　"</f>
        <v>４６０　　　　　　　　　　　　　　　　　</v>
      </c>
      <c r="L4130" s="25"/>
    </row>
    <row r="4131" spans="1:12" s="40" customFormat="1" ht="18" customHeight="1" x14ac:dyDescent="0.15">
      <c r="A4131" s="25">
        <v>5161</v>
      </c>
      <c r="B4131" s="25" t="s">
        <v>35</v>
      </c>
      <c r="C4131" s="25" t="s">
        <v>533</v>
      </c>
      <c r="D4131" s="25">
        <v>1</v>
      </c>
      <c r="E4131" s="25" t="s">
        <v>9</v>
      </c>
      <c r="F4131" s="38">
        <v>42500</v>
      </c>
      <c r="G4131" s="38" t="s">
        <v>669</v>
      </c>
      <c r="H4131" s="25" t="str">
        <f t="shared" si="132"/>
        <v>平成6年9月14日</v>
      </c>
      <c r="I4131" s="39">
        <f t="shared" si="133"/>
        <v>34591</v>
      </c>
      <c r="J4131" s="25" t="str">
        <f>"00747557"</f>
        <v>00747557</v>
      </c>
      <c r="K4131" s="25" t="str">
        <f>"４６１　　　　　　　　　　　　　　　　　"</f>
        <v>４６１　　　　　　　　　　　　　　　　　</v>
      </c>
      <c r="L4131" s="25"/>
    </row>
    <row r="4132" spans="1:12" s="40" customFormat="1" ht="18" customHeight="1" x14ac:dyDescent="0.15">
      <c r="A4132" s="25">
        <v>5162</v>
      </c>
      <c r="B4132" s="25" t="s">
        <v>35</v>
      </c>
      <c r="C4132" s="25" t="s">
        <v>533</v>
      </c>
      <c r="D4132" s="25">
        <v>1</v>
      </c>
      <c r="E4132" s="25" t="s">
        <v>9</v>
      </c>
      <c r="F4132" s="38">
        <v>42500</v>
      </c>
      <c r="G4132" s="38" t="s">
        <v>669</v>
      </c>
      <c r="H4132" s="25" t="str">
        <f t="shared" si="132"/>
        <v>平成6年9月14日</v>
      </c>
      <c r="I4132" s="39">
        <f t="shared" si="133"/>
        <v>34591</v>
      </c>
      <c r="J4132" s="25" t="str">
        <f>"00747559"</f>
        <v>00747559</v>
      </c>
      <c r="K4132" s="25" t="str">
        <f>"４６２　　　　　　　　　　　　　　　　　"</f>
        <v>４６２　　　　　　　　　　　　　　　　　</v>
      </c>
      <c r="L4132" s="25"/>
    </row>
    <row r="4133" spans="1:12" s="40" customFormat="1" ht="18" customHeight="1" x14ac:dyDescent="0.15">
      <c r="A4133" s="25">
        <v>5163</v>
      </c>
      <c r="B4133" s="25" t="s">
        <v>35</v>
      </c>
      <c r="C4133" s="25" t="s">
        <v>533</v>
      </c>
      <c r="D4133" s="25">
        <v>1</v>
      </c>
      <c r="E4133" s="25" t="s">
        <v>9</v>
      </c>
      <c r="F4133" s="38">
        <v>42500</v>
      </c>
      <c r="G4133" s="38" t="s">
        <v>669</v>
      </c>
      <c r="H4133" s="25" t="str">
        <f t="shared" si="132"/>
        <v>平成6年9月14日</v>
      </c>
      <c r="I4133" s="39">
        <f t="shared" si="133"/>
        <v>34591</v>
      </c>
      <c r="J4133" s="25" t="str">
        <f>"00747561"</f>
        <v>00747561</v>
      </c>
      <c r="K4133" s="25" t="str">
        <f>"４６３　　　　　　　　　　　　　　　　　"</f>
        <v>４６３　　　　　　　　　　　　　　　　　</v>
      </c>
      <c r="L4133" s="25"/>
    </row>
    <row r="4134" spans="1:12" s="40" customFormat="1" ht="18" customHeight="1" x14ac:dyDescent="0.15">
      <c r="A4134" s="25">
        <v>5164</v>
      </c>
      <c r="B4134" s="25" t="s">
        <v>35</v>
      </c>
      <c r="C4134" s="25" t="s">
        <v>533</v>
      </c>
      <c r="D4134" s="25">
        <v>1</v>
      </c>
      <c r="E4134" s="25" t="s">
        <v>9</v>
      </c>
      <c r="F4134" s="38">
        <v>42500</v>
      </c>
      <c r="G4134" s="38" t="s">
        <v>669</v>
      </c>
      <c r="H4134" s="25" t="str">
        <f t="shared" si="132"/>
        <v>平成6年9月14日</v>
      </c>
      <c r="I4134" s="39">
        <f t="shared" si="133"/>
        <v>34591</v>
      </c>
      <c r="J4134" s="25" t="str">
        <f>"00747563"</f>
        <v>00747563</v>
      </c>
      <c r="K4134" s="25" t="str">
        <f>"４６４　　　　　　　　　　　　　　　　　"</f>
        <v>４６４　　　　　　　　　　　　　　　　　</v>
      </c>
      <c r="L4134" s="25"/>
    </row>
    <row r="4135" spans="1:12" s="40" customFormat="1" ht="18" customHeight="1" x14ac:dyDescent="0.15">
      <c r="A4135" s="25">
        <v>5165</v>
      </c>
      <c r="B4135" s="25" t="s">
        <v>35</v>
      </c>
      <c r="C4135" s="25" t="s">
        <v>533</v>
      </c>
      <c r="D4135" s="25">
        <v>1</v>
      </c>
      <c r="E4135" s="25" t="s">
        <v>9</v>
      </c>
      <c r="F4135" s="38">
        <v>42500</v>
      </c>
      <c r="G4135" s="38" t="s">
        <v>669</v>
      </c>
      <c r="H4135" s="25" t="str">
        <f t="shared" si="132"/>
        <v>平成6年9月14日</v>
      </c>
      <c r="I4135" s="39">
        <f t="shared" si="133"/>
        <v>34591</v>
      </c>
      <c r="J4135" s="25" t="str">
        <f>"00747565"</f>
        <v>00747565</v>
      </c>
      <c r="K4135" s="25" t="str">
        <f>"４６５　　　　　　　　　　　　　　　　　"</f>
        <v>４６５　　　　　　　　　　　　　　　　　</v>
      </c>
      <c r="L4135" s="25"/>
    </row>
    <row r="4136" spans="1:12" s="40" customFormat="1" ht="18" customHeight="1" x14ac:dyDescent="0.15">
      <c r="A4136" s="25">
        <v>5166</v>
      </c>
      <c r="B4136" s="25" t="s">
        <v>35</v>
      </c>
      <c r="C4136" s="25" t="s">
        <v>533</v>
      </c>
      <c r="D4136" s="25">
        <v>1</v>
      </c>
      <c r="E4136" s="25" t="s">
        <v>9</v>
      </c>
      <c r="F4136" s="38">
        <v>42500</v>
      </c>
      <c r="G4136" s="38" t="s">
        <v>669</v>
      </c>
      <c r="H4136" s="25" t="str">
        <f t="shared" si="132"/>
        <v>平成6年9月14日</v>
      </c>
      <c r="I4136" s="39">
        <f t="shared" si="133"/>
        <v>34591</v>
      </c>
      <c r="J4136" s="25" t="str">
        <f>"00747567"</f>
        <v>00747567</v>
      </c>
      <c r="K4136" s="25" t="str">
        <f>"４６６　　　　　　　　　　　　　　　　　"</f>
        <v>４６６　　　　　　　　　　　　　　　　　</v>
      </c>
      <c r="L4136" s="25"/>
    </row>
    <row r="4137" spans="1:12" s="40" customFormat="1" ht="18" customHeight="1" x14ac:dyDescent="0.15">
      <c r="A4137" s="25">
        <v>5167</v>
      </c>
      <c r="B4137" s="25" t="s">
        <v>35</v>
      </c>
      <c r="C4137" s="25" t="s">
        <v>533</v>
      </c>
      <c r="D4137" s="25">
        <v>1</v>
      </c>
      <c r="E4137" s="25" t="s">
        <v>9</v>
      </c>
      <c r="F4137" s="38">
        <v>42500</v>
      </c>
      <c r="G4137" s="38" t="s">
        <v>669</v>
      </c>
      <c r="H4137" s="25" t="str">
        <f t="shared" si="132"/>
        <v>平成6年9月14日</v>
      </c>
      <c r="I4137" s="39">
        <f t="shared" si="133"/>
        <v>34591</v>
      </c>
      <c r="J4137" s="25" t="str">
        <f>"00747569"</f>
        <v>00747569</v>
      </c>
      <c r="K4137" s="25" t="str">
        <f>"４６７　　　　　　　　　　　　　　　　　"</f>
        <v>４６７　　　　　　　　　　　　　　　　　</v>
      </c>
      <c r="L4137" s="25"/>
    </row>
    <row r="4138" spans="1:12" s="40" customFormat="1" ht="18" customHeight="1" x14ac:dyDescent="0.15">
      <c r="A4138" s="25">
        <v>5168</v>
      </c>
      <c r="B4138" s="25" t="s">
        <v>35</v>
      </c>
      <c r="C4138" s="25" t="s">
        <v>533</v>
      </c>
      <c r="D4138" s="25">
        <v>1</v>
      </c>
      <c r="E4138" s="25" t="s">
        <v>9</v>
      </c>
      <c r="F4138" s="38">
        <v>42500</v>
      </c>
      <c r="G4138" s="38" t="s">
        <v>669</v>
      </c>
      <c r="H4138" s="25" t="str">
        <f t="shared" si="132"/>
        <v>平成6年9月14日</v>
      </c>
      <c r="I4138" s="39">
        <f t="shared" si="133"/>
        <v>34591</v>
      </c>
      <c r="J4138" s="25" t="str">
        <f>"00747571"</f>
        <v>00747571</v>
      </c>
      <c r="K4138" s="25" t="str">
        <f>"４６８　　　　　　　　　　　　　　　　　"</f>
        <v>４６８　　　　　　　　　　　　　　　　　</v>
      </c>
      <c r="L4138" s="25"/>
    </row>
    <row r="4139" spans="1:12" s="40" customFormat="1" ht="18" customHeight="1" x14ac:dyDescent="0.15">
      <c r="A4139" s="25">
        <v>5169</v>
      </c>
      <c r="B4139" s="25" t="s">
        <v>35</v>
      </c>
      <c r="C4139" s="25" t="s">
        <v>534</v>
      </c>
      <c r="D4139" s="25">
        <v>1</v>
      </c>
      <c r="E4139" s="25" t="s">
        <v>9</v>
      </c>
      <c r="F4139" s="38">
        <v>42500</v>
      </c>
      <c r="G4139" s="38" t="s">
        <v>669</v>
      </c>
      <c r="H4139" s="25" t="str">
        <f t="shared" si="132"/>
        <v>平成6年9月14日</v>
      </c>
      <c r="I4139" s="39">
        <f t="shared" si="133"/>
        <v>34591</v>
      </c>
      <c r="J4139" s="25" t="str">
        <f>"00747573"</f>
        <v>00747573</v>
      </c>
      <c r="K4139" s="25" t="str">
        <f>"４６９　　　　　　　　　　　　　　　　　"</f>
        <v>４６９　　　　　　　　　　　　　　　　　</v>
      </c>
      <c r="L4139" s="25"/>
    </row>
    <row r="4140" spans="1:12" s="40" customFormat="1" ht="18" customHeight="1" x14ac:dyDescent="0.15">
      <c r="A4140" s="25">
        <v>5170</v>
      </c>
      <c r="B4140" s="25" t="s">
        <v>35</v>
      </c>
      <c r="C4140" s="25" t="s">
        <v>534</v>
      </c>
      <c r="D4140" s="25">
        <v>1</v>
      </c>
      <c r="E4140" s="25" t="s">
        <v>9</v>
      </c>
      <c r="F4140" s="38">
        <v>42500</v>
      </c>
      <c r="G4140" s="38" t="s">
        <v>669</v>
      </c>
      <c r="H4140" s="25" t="str">
        <f t="shared" si="132"/>
        <v>平成6年9月14日</v>
      </c>
      <c r="I4140" s="39">
        <f t="shared" si="133"/>
        <v>34591</v>
      </c>
      <c r="J4140" s="25" t="str">
        <f>"00747575"</f>
        <v>00747575</v>
      </c>
      <c r="K4140" s="25" t="str">
        <f>"４７０　　　　　　　　　　　　　　　　　"</f>
        <v>４７０　　　　　　　　　　　　　　　　　</v>
      </c>
      <c r="L4140" s="25"/>
    </row>
    <row r="4141" spans="1:12" s="40" customFormat="1" ht="18" customHeight="1" x14ac:dyDescent="0.15">
      <c r="A4141" s="25">
        <v>5171</v>
      </c>
      <c r="B4141" s="25" t="s">
        <v>35</v>
      </c>
      <c r="C4141" s="25" t="s">
        <v>534</v>
      </c>
      <c r="D4141" s="25">
        <v>1</v>
      </c>
      <c r="E4141" s="25" t="s">
        <v>9</v>
      </c>
      <c r="F4141" s="38">
        <v>42500</v>
      </c>
      <c r="G4141" s="38" t="s">
        <v>669</v>
      </c>
      <c r="H4141" s="25" t="str">
        <f t="shared" si="132"/>
        <v>平成6年9月14日</v>
      </c>
      <c r="I4141" s="39">
        <f t="shared" si="133"/>
        <v>34591</v>
      </c>
      <c r="J4141" s="25" t="str">
        <f>"00747577"</f>
        <v>00747577</v>
      </c>
      <c r="K4141" s="25" t="str">
        <f>"４７１　　　　　　　　　　　　　　　　　"</f>
        <v>４７１　　　　　　　　　　　　　　　　　</v>
      </c>
      <c r="L4141" s="25"/>
    </row>
    <row r="4142" spans="1:12" s="40" customFormat="1" ht="18" customHeight="1" x14ac:dyDescent="0.15">
      <c r="A4142" s="25">
        <v>5172</v>
      </c>
      <c r="B4142" s="25" t="s">
        <v>35</v>
      </c>
      <c r="C4142" s="25" t="s">
        <v>534</v>
      </c>
      <c r="D4142" s="25">
        <v>1</v>
      </c>
      <c r="E4142" s="25" t="s">
        <v>9</v>
      </c>
      <c r="F4142" s="38">
        <v>42500</v>
      </c>
      <c r="G4142" s="38" t="s">
        <v>669</v>
      </c>
      <c r="H4142" s="25" t="str">
        <f t="shared" si="132"/>
        <v>平成6年9月14日</v>
      </c>
      <c r="I4142" s="39">
        <f t="shared" si="133"/>
        <v>34591</v>
      </c>
      <c r="J4142" s="25" t="str">
        <f>"00747579"</f>
        <v>00747579</v>
      </c>
      <c r="K4142" s="25" t="str">
        <f>"４７２　　　　　　　　　　　　　　　　　"</f>
        <v>４７２　　　　　　　　　　　　　　　　　</v>
      </c>
      <c r="L4142" s="25"/>
    </row>
    <row r="4143" spans="1:12" s="40" customFormat="1" ht="18" customHeight="1" x14ac:dyDescent="0.15">
      <c r="A4143" s="25">
        <v>5173</v>
      </c>
      <c r="B4143" s="25" t="s">
        <v>35</v>
      </c>
      <c r="C4143" s="25" t="s">
        <v>534</v>
      </c>
      <c r="D4143" s="25">
        <v>1</v>
      </c>
      <c r="E4143" s="25" t="s">
        <v>9</v>
      </c>
      <c r="F4143" s="38">
        <v>42500</v>
      </c>
      <c r="G4143" s="38" t="s">
        <v>669</v>
      </c>
      <c r="H4143" s="25" t="str">
        <f t="shared" si="132"/>
        <v>平成6年9月14日</v>
      </c>
      <c r="I4143" s="39">
        <f t="shared" si="133"/>
        <v>34591</v>
      </c>
      <c r="J4143" s="25" t="str">
        <f>"00747581"</f>
        <v>00747581</v>
      </c>
      <c r="K4143" s="25" t="str">
        <f>"４７３　　　　　　　　　　　　　　　　　"</f>
        <v>４７３　　　　　　　　　　　　　　　　　</v>
      </c>
      <c r="L4143" s="25"/>
    </row>
    <row r="4144" spans="1:12" s="40" customFormat="1" ht="18" customHeight="1" x14ac:dyDescent="0.15">
      <c r="A4144" s="25">
        <v>5174</v>
      </c>
      <c r="B4144" s="25" t="s">
        <v>35</v>
      </c>
      <c r="C4144" s="25" t="s">
        <v>534</v>
      </c>
      <c r="D4144" s="25">
        <v>1</v>
      </c>
      <c r="E4144" s="25" t="s">
        <v>9</v>
      </c>
      <c r="F4144" s="38">
        <v>42500</v>
      </c>
      <c r="G4144" s="38" t="s">
        <v>669</v>
      </c>
      <c r="H4144" s="25" t="str">
        <f t="shared" si="132"/>
        <v>平成6年9月14日</v>
      </c>
      <c r="I4144" s="39">
        <f t="shared" si="133"/>
        <v>34591</v>
      </c>
      <c r="J4144" s="25" t="str">
        <f>"00747583"</f>
        <v>00747583</v>
      </c>
      <c r="K4144" s="25" t="str">
        <f>"４７４　　　　　　　　　　　　　　　　　"</f>
        <v>４７４　　　　　　　　　　　　　　　　　</v>
      </c>
      <c r="L4144" s="25"/>
    </row>
    <row r="4145" spans="1:12" s="40" customFormat="1" ht="18" customHeight="1" x14ac:dyDescent="0.15">
      <c r="A4145" s="25">
        <v>5175</v>
      </c>
      <c r="B4145" s="25" t="s">
        <v>35</v>
      </c>
      <c r="C4145" s="25" t="s">
        <v>534</v>
      </c>
      <c r="D4145" s="25">
        <v>1</v>
      </c>
      <c r="E4145" s="25" t="s">
        <v>9</v>
      </c>
      <c r="F4145" s="38">
        <v>42500</v>
      </c>
      <c r="G4145" s="38" t="s">
        <v>669</v>
      </c>
      <c r="H4145" s="25" t="str">
        <f t="shared" si="132"/>
        <v>平成6年9月14日</v>
      </c>
      <c r="I4145" s="39">
        <f t="shared" si="133"/>
        <v>34591</v>
      </c>
      <c r="J4145" s="25" t="str">
        <f>"00747585"</f>
        <v>00747585</v>
      </c>
      <c r="K4145" s="25" t="str">
        <f>"４７５　　　　　　　　　　　　　　　　　"</f>
        <v>４７５　　　　　　　　　　　　　　　　　</v>
      </c>
      <c r="L4145" s="25"/>
    </row>
    <row r="4146" spans="1:12" s="40" customFormat="1" ht="18" customHeight="1" x14ac:dyDescent="0.15">
      <c r="A4146" s="25">
        <v>5176</v>
      </c>
      <c r="B4146" s="25" t="s">
        <v>35</v>
      </c>
      <c r="C4146" s="25" t="s">
        <v>534</v>
      </c>
      <c r="D4146" s="25">
        <v>1</v>
      </c>
      <c r="E4146" s="25" t="s">
        <v>9</v>
      </c>
      <c r="F4146" s="38">
        <v>42500</v>
      </c>
      <c r="G4146" s="38" t="s">
        <v>669</v>
      </c>
      <c r="H4146" s="25" t="str">
        <f t="shared" si="132"/>
        <v>平成6年9月14日</v>
      </c>
      <c r="I4146" s="39">
        <f t="shared" si="133"/>
        <v>34591</v>
      </c>
      <c r="J4146" s="25" t="str">
        <f>"00747587"</f>
        <v>00747587</v>
      </c>
      <c r="K4146" s="25" t="str">
        <f>"４７６　　　　　　　　　　　　　　　　　"</f>
        <v>４７６　　　　　　　　　　　　　　　　　</v>
      </c>
      <c r="L4146" s="25"/>
    </row>
    <row r="4147" spans="1:12" s="40" customFormat="1" ht="18" customHeight="1" x14ac:dyDescent="0.15">
      <c r="A4147" s="25">
        <v>5177</v>
      </c>
      <c r="B4147" s="25" t="s">
        <v>35</v>
      </c>
      <c r="C4147" s="25" t="s">
        <v>534</v>
      </c>
      <c r="D4147" s="25">
        <v>1</v>
      </c>
      <c r="E4147" s="25" t="s">
        <v>9</v>
      </c>
      <c r="F4147" s="38">
        <v>42500</v>
      </c>
      <c r="G4147" s="38" t="s">
        <v>669</v>
      </c>
      <c r="H4147" s="25" t="str">
        <f t="shared" si="132"/>
        <v>平成6年9月14日</v>
      </c>
      <c r="I4147" s="39">
        <f t="shared" si="133"/>
        <v>34591</v>
      </c>
      <c r="J4147" s="25" t="str">
        <f>"00747589"</f>
        <v>00747589</v>
      </c>
      <c r="K4147" s="25" t="str">
        <f>"４７７　　　　　　　　　　　　　　　　　"</f>
        <v>４７７　　　　　　　　　　　　　　　　　</v>
      </c>
      <c r="L4147" s="25"/>
    </row>
    <row r="4148" spans="1:12" s="40" customFormat="1" ht="18" customHeight="1" x14ac:dyDescent="0.15">
      <c r="A4148" s="25">
        <v>5178</v>
      </c>
      <c r="B4148" s="25" t="s">
        <v>35</v>
      </c>
      <c r="C4148" s="25" t="s">
        <v>534</v>
      </c>
      <c r="D4148" s="25">
        <v>1</v>
      </c>
      <c r="E4148" s="25" t="s">
        <v>9</v>
      </c>
      <c r="F4148" s="38">
        <v>42500</v>
      </c>
      <c r="G4148" s="38" t="s">
        <v>669</v>
      </c>
      <c r="H4148" s="25" t="str">
        <f t="shared" si="132"/>
        <v>平成6年9月14日</v>
      </c>
      <c r="I4148" s="39">
        <f t="shared" si="133"/>
        <v>34591</v>
      </c>
      <c r="J4148" s="25" t="str">
        <f>"00747591"</f>
        <v>00747591</v>
      </c>
      <c r="K4148" s="25" t="str">
        <f>"４７８　　　　　　　　　　　　　　　　　"</f>
        <v>４７８　　　　　　　　　　　　　　　　　</v>
      </c>
      <c r="L4148" s="25"/>
    </row>
    <row r="4149" spans="1:12" s="40" customFormat="1" ht="18" customHeight="1" x14ac:dyDescent="0.15">
      <c r="A4149" s="25">
        <v>5179</v>
      </c>
      <c r="B4149" s="25" t="s">
        <v>35</v>
      </c>
      <c r="C4149" s="25" t="s">
        <v>534</v>
      </c>
      <c r="D4149" s="25">
        <v>1</v>
      </c>
      <c r="E4149" s="25" t="s">
        <v>9</v>
      </c>
      <c r="F4149" s="38">
        <v>42500</v>
      </c>
      <c r="G4149" s="38" t="s">
        <v>669</v>
      </c>
      <c r="H4149" s="25" t="str">
        <f t="shared" si="132"/>
        <v>平成6年9月14日</v>
      </c>
      <c r="I4149" s="39">
        <f t="shared" si="133"/>
        <v>34591</v>
      </c>
      <c r="J4149" s="25" t="str">
        <f>"00747593"</f>
        <v>00747593</v>
      </c>
      <c r="K4149" s="25" t="str">
        <f>"４７９　　　　　　　　　　　　　　　　　"</f>
        <v>４７９　　　　　　　　　　　　　　　　　</v>
      </c>
      <c r="L4149" s="25"/>
    </row>
    <row r="4150" spans="1:12" s="40" customFormat="1" ht="18" customHeight="1" x14ac:dyDescent="0.15">
      <c r="A4150" s="25">
        <v>5180</v>
      </c>
      <c r="B4150" s="25" t="s">
        <v>35</v>
      </c>
      <c r="C4150" s="25" t="s">
        <v>534</v>
      </c>
      <c r="D4150" s="25">
        <v>1</v>
      </c>
      <c r="E4150" s="25" t="s">
        <v>9</v>
      </c>
      <c r="F4150" s="38">
        <v>42500</v>
      </c>
      <c r="G4150" s="38" t="s">
        <v>669</v>
      </c>
      <c r="H4150" s="25" t="str">
        <f t="shared" si="132"/>
        <v>平成6年9月14日</v>
      </c>
      <c r="I4150" s="39">
        <f t="shared" si="133"/>
        <v>34591</v>
      </c>
      <c r="J4150" s="25" t="str">
        <f>"00747595"</f>
        <v>00747595</v>
      </c>
      <c r="K4150" s="25" t="str">
        <f>"４８０　　　　　　　　　　　　　　　　　"</f>
        <v>４８０　　　　　　　　　　　　　　　　　</v>
      </c>
      <c r="L4150" s="25"/>
    </row>
    <row r="4151" spans="1:12" s="40" customFormat="1" ht="18" customHeight="1" x14ac:dyDescent="0.15">
      <c r="A4151" s="25">
        <v>5181</v>
      </c>
      <c r="B4151" s="25" t="s">
        <v>35</v>
      </c>
      <c r="C4151" s="25" t="s">
        <v>534</v>
      </c>
      <c r="D4151" s="25">
        <v>1</v>
      </c>
      <c r="E4151" s="25" t="s">
        <v>9</v>
      </c>
      <c r="F4151" s="38">
        <v>42500</v>
      </c>
      <c r="G4151" s="38" t="s">
        <v>669</v>
      </c>
      <c r="H4151" s="25" t="str">
        <f t="shared" si="132"/>
        <v>平成6年9月14日</v>
      </c>
      <c r="I4151" s="39">
        <f t="shared" si="133"/>
        <v>34591</v>
      </c>
      <c r="J4151" s="25" t="str">
        <f>"00747597"</f>
        <v>00747597</v>
      </c>
      <c r="K4151" s="25" t="str">
        <f>"４８１　　　　　　　　　　　　　　　　　"</f>
        <v>４８１　　　　　　　　　　　　　　　　　</v>
      </c>
      <c r="L4151" s="25"/>
    </row>
    <row r="4152" spans="1:12" s="40" customFormat="1" ht="18" customHeight="1" x14ac:dyDescent="0.15">
      <c r="A4152" s="25">
        <v>5182</v>
      </c>
      <c r="B4152" s="25" t="s">
        <v>35</v>
      </c>
      <c r="C4152" s="25" t="s">
        <v>534</v>
      </c>
      <c r="D4152" s="25">
        <v>1</v>
      </c>
      <c r="E4152" s="25" t="s">
        <v>9</v>
      </c>
      <c r="F4152" s="38">
        <v>42500</v>
      </c>
      <c r="G4152" s="38" t="s">
        <v>669</v>
      </c>
      <c r="H4152" s="25" t="str">
        <f t="shared" si="132"/>
        <v>平成6年9月14日</v>
      </c>
      <c r="I4152" s="39">
        <f t="shared" si="133"/>
        <v>34591</v>
      </c>
      <c r="J4152" s="25" t="str">
        <f>"00747599"</f>
        <v>00747599</v>
      </c>
      <c r="K4152" s="25" t="str">
        <f>"４８２　　　　　　　　　　　　　　　　　"</f>
        <v>４８２　　　　　　　　　　　　　　　　　</v>
      </c>
      <c r="L4152" s="25"/>
    </row>
    <row r="4153" spans="1:12" s="40" customFormat="1" ht="18" customHeight="1" x14ac:dyDescent="0.15">
      <c r="A4153" s="25">
        <v>5183</v>
      </c>
      <c r="B4153" s="25" t="s">
        <v>35</v>
      </c>
      <c r="C4153" s="25" t="s">
        <v>534</v>
      </c>
      <c r="D4153" s="25">
        <v>1</v>
      </c>
      <c r="E4153" s="25" t="s">
        <v>9</v>
      </c>
      <c r="F4153" s="38">
        <v>42500</v>
      </c>
      <c r="G4153" s="38" t="s">
        <v>669</v>
      </c>
      <c r="H4153" s="25" t="str">
        <f t="shared" si="132"/>
        <v>平成6年9月14日</v>
      </c>
      <c r="I4153" s="39">
        <f t="shared" si="133"/>
        <v>34591</v>
      </c>
      <c r="J4153" s="25" t="str">
        <f>"00747601"</f>
        <v>00747601</v>
      </c>
      <c r="K4153" s="25" t="str">
        <f>"４８３　　　　　　　　　　　　　　　　　"</f>
        <v>４８３　　　　　　　　　　　　　　　　　</v>
      </c>
      <c r="L4153" s="25"/>
    </row>
    <row r="4154" spans="1:12" s="40" customFormat="1" ht="18" customHeight="1" x14ac:dyDescent="0.15">
      <c r="A4154" s="25">
        <v>5184</v>
      </c>
      <c r="B4154" s="25" t="s">
        <v>35</v>
      </c>
      <c r="C4154" s="25" t="s">
        <v>534</v>
      </c>
      <c r="D4154" s="25">
        <v>1</v>
      </c>
      <c r="E4154" s="25" t="s">
        <v>9</v>
      </c>
      <c r="F4154" s="38">
        <v>42500</v>
      </c>
      <c r="G4154" s="38" t="s">
        <v>669</v>
      </c>
      <c r="H4154" s="25" t="str">
        <f t="shared" si="132"/>
        <v>平成6年9月14日</v>
      </c>
      <c r="I4154" s="39">
        <f t="shared" si="133"/>
        <v>34591</v>
      </c>
      <c r="J4154" s="25" t="str">
        <f>"00747603"</f>
        <v>00747603</v>
      </c>
      <c r="K4154" s="25" t="str">
        <f>"４８４　　　　　　　　　　　　　　　　　"</f>
        <v>４８４　　　　　　　　　　　　　　　　　</v>
      </c>
      <c r="L4154" s="25"/>
    </row>
    <row r="4155" spans="1:12" s="40" customFormat="1" ht="18" customHeight="1" x14ac:dyDescent="0.15">
      <c r="A4155" s="25">
        <v>5185</v>
      </c>
      <c r="B4155" s="25" t="s">
        <v>35</v>
      </c>
      <c r="C4155" s="25" t="s">
        <v>534</v>
      </c>
      <c r="D4155" s="25">
        <v>1</v>
      </c>
      <c r="E4155" s="25" t="s">
        <v>9</v>
      </c>
      <c r="F4155" s="38">
        <v>42500</v>
      </c>
      <c r="G4155" s="38" t="s">
        <v>669</v>
      </c>
      <c r="H4155" s="25" t="str">
        <f t="shared" si="132"/>
        <v>平成6年9月14日</v>
      </c>
      <c r="I4155" s="39">
        <f t="shared" si="133"/>
        <v>34591</v>
      </c>
      <c r="J4155" s="25" t="str">
        <f>"00747605"</f>
        <v>00747605</v>
      </c>
      <c r="K4155" s="25" t="str">
        <f>"４８５　　　　　　　　　　　　　　　　　"</f>
        <v>４８５　　　　　　　　　　　　　　　　　</v>
      </c>
      <c r="L4155" s="25"/>
    </row>
    <row r="4156" spans="1:12" s="40" customFormat="1" ht="18" customHeight="1" x14ac:dyDescent="0.15">
      <c r="A4156" s="25">
        <v>5186</v>
      </c>
      <c r="B4156" s="25" t="s">
        <v>35</v>
      </c>
      <c r="C4156" s="25" t="s">
        <v>534</v>
      </c>
      <c r="D4156" s="25">
        <v>1</v>
      </c>
      <c r="E4156" s="25" t="s">
        <v>9</v>
      </c>
      <c r="F4156" s="38">
        <v>42500</v>
      </c>
      <c r="G4156" s="38" t="s">
        <v>669</v>
      </c>
      <c r="H4156" s="25" t="str">
        <f t="shared" si="132"/>
        <v>平成6年9月14日</v>
      </c>
      <c r="I4156" s="39">
        <f t="shared" si="133"/>
        <v>34591</v>
      </c>
      <c r="J4156" s="25" t="str">
        <f>"00747607"</f>
        <v>00747607</v>
      </c>
      <c r="K4156" s="25" t="str">
        <f>"４８６　　　　　　　　　　　　　　　　　"</f>
        <v>４８６　　　　　　　　　　　　　　　　　</v>
      </c>
      <c r="L4156" s="25"/>
    </row>
    <row r="4157" spans="1:12" s="40" customFormat="1" ht="18" customHeight="1" x14ac:dyDescent="0.15">
      <c r="A4157" s="25">
        <v>5187</v>
      </c>
      <c r="B4157" s="25" t="s">
        <v>35</v>
      </c>
      <c r="C4157" s="25" t="s">
        <v>534</v>
      </c>
      <c r="D4157" s="25">
        <v>1</v>
      </c>
      <c r="E4157" s="25" t="s">
        <v>9</v>
      </c>
      <c r="F4157" s="38">
        <v>42500</v>
      </c>
      <c r="G4157" s="38" t="s">
        <v>669</v>
      </c>
      <c r="H4157" s="25" t="str">
        <f t="shared" si="132"/>
        <v>平成6年9月14日</v>
      </c>
      <c r="I4157" s="39">
        <f t="shared" si="133"/>
        <v>34591</v>
      </c>
      <c r="J4157" s="25" t="str">
        <f>"00747609"</f>
        <v>00747609</v>
      </c>
      <c r="K4157" s="25" t="str">
        <f>"４８７　　　　　　　　　　　　　　　　　"</f>
        <v>４８７　　　　　　　　　　　　　　　　　</v>
      </c>
      <c r="L4157" s="25"/>
    </row>
    <row r="4158" spans="1:12" s="40" customFormat="1" ht="18" customHeight="1" x14ac:dyDescent="0.15">
      <c r="A4158" s="25">
        <v>5188</v>
      </c>
      <c r="B4158" s="25" t="s">
        <v>35</v>
      </c>
      <c r="C4158" s="25" t="s">
        <v>534</v>
      </c>
      <c r="D4158" s="25">
        <v>1</v>
      </c>
      <c r="E4158" s="25" t="s">
        <v>9</v>
      </c>
      <c r="F4158" s="38">
        <v>42500</v>
      </c>
      <c r="G4158" s="38" t="s">
        <v>669</v>
      </c>
      <c r="H4158" s="25" t="str">
        <f t="shared" si="132"/>
        <v>平成6年9月14日</v>
      </c>
      <c r="I4158" s="39">
        <f t="shared" si="133"/>
        <v>34591</v>
      </c>
      <c r="J4158" s="25" t="str">
        <f>"00747611"</f>
        <v>00747611</v>
      </c>
      <c r="K4158" s="25" t="str">
        <f>"４８８　　　　　　　　　　　　　　　　　"</f>
        <v>４８８　　　　　　　　　　　　　　　　　</v>
      </c>
      <c r="L4158" s="25"/>
    </row>
    <row r="4159" spans="1:12" s="40" customFormat="1" ht="18" customHeight="1" x14ac:dyDescent="0.15">
      <c r="A4159" s="25">
        <v>5189</v>
      </c>
      <c r="B4159" s="25" t="s">
        <v>35</v>
      </c>
      <c r="C4159" s="25" t="s">
        <v>534</v>
      </c>
      <c r="D4159" s="25">
        <v>1</v>
      </c>
      <c r="E4159" s="25" t="s">
        <v>9</v>
      </c>
      <c r="F4159" s="38">
        <v>42500</v>
      </c>
      <c r="G4159" s="38" t="s">
        <v>669</v>
      </c>
      <c r="H4159" s="25" t="str">
        <f t="shared" si="132"/>
        <v>平成6年9月14日</v>
      </c>
      <c r="I4159" s="39">
        <f t="shared" si="133"/>
        <v>34591</v>
      </c>
      <c r="J4159" s="25" t="str">
        <f>"00747613"</f>
        <v>00747613</v>
      </c>
      <c r="K4159" s="25" t="str">
        <f>"４８９　　　　　　　　　　　　　　　　　"</f>
        <v>４８９　　　　　　　　　　　　　　　　　</v>
      </c>
      <c r="L4159" s="25"/>
    </row>
    <row r="4160" spans="1:12" s="40" customFormat="1" ht="18" customHeight="1" x14ac:dyDescent="0.15">
      <c r="A4160" s="25">
        <v>5190</v>
      </c>
      <c r="B4160" s="25" t="s">
        <v>35</v>
      </c>
      <c r="C4160" s="25" t="s">
        <v>534</v>
      </c>
      <c r="D4160" s="25">
        <v>1</v>
      </c>
      <c r="E4160" s="25" t="s">
        <v>9</v>
      </c>
      <c r="F4160" s="38">
        <v>42500</v>
      </c>
      <c r="G4160" s="38" t="s">
        <v>669</v>
      </c>
      <c r="H4160" s="25" t="str">
        <f t="shared" si="132"/>
        <v>平成6年9月14日</v>
      </c>
      <c r="I4160" s="39">
        <f t="shared" si="133"/>
        <v>34591</v>
      </c>
      <c r="J4160" s="25" t="str">
        <f>"00747615"</f>
        <v>00747615</v>
      </c>
      <c r="K4160" s="25" t="str">
        <f>"４９０　　　　　　　　　　　　　　　　　"</f>
        <v>４９０　　　　　　　　　　　　　　　　　</v>
      </c>
      <c r="L4160" s="25"/>
    </row>
    <row r="4161" spans="1:12" s="40" customFormat="1" ht="18" customHeight="1" x14ac:dyDescent="0.15">
      <c r="A4161" s="25">
        <v>5191</v>
      </c>
      <c r="B4161" s="25" t="s">
        <v>35</v>
      </c>
      <c r="C4161" s="25" t="s">
        <v>534</v>
      </c>
      <c r="D4161" s="25">
        <v>1</v>
      </c>
      <c r="E4161" s="25" t="s">
        <v>9</v>
      </c>
      <c r="F4161" s="38">
        <v>42500</v>
      </c>
      <c r="G4161" s="38" t="s">
        <v>669</v>
      </c>
      <c r="H4161" s="25" t="str">
        <f t="shared" si="132"/>
        <v>平成6年9月14日</v>
      </c>
      <c r="I4161" s="39">
        <f t="shared" si="133"/>
        <v>34591</v>
      </c>
      <c r="J4161" s="25" t="str">
        <f>"00747617"</f>
        <v>00747617</v>
      </c>
      <c r="K4161" s="25" t="str">
        <f>"４９１　　　　　　　　　　　　　　　　　"</f>
        <v>４９１　　　　　　　　　　　　　　　　　</v>
      </c>
      <c r="L4161" s="25"/>
    </row>
    <row r="4162" spans="1:12" s="40" customFormat="1" ht="18" customHeight="1" x14ac:dyDescent="0.15">
      <c r="A4162" s="25">
        <v>5192</v>
      </c>
      <c r="B4162" s="25" t="s">
        <v>35</v>
      </c>
      <c r="C4162" s="25" t="s">
        <v>534</v>
      </c>
      <c r="D4162" s="25">
        <v>1</v>
      </c>
      <c r="E4162" s="25" t="s">
        <v>9</v>
      </c>
      <c r="F4162" s="38">
        <v>42500</v>
      </c>
      <c r="G4162" s="38" t="s">
        <v>669</v>
      </c>
      <c r="H4162" s="25" t="str">
        <f t="shared" si="132"/>
        <v>平成6年9月14日</v>
      </c>
      <c r="I4162" s="39">
        <f t="shared" si="133"/>
        <v>34591</v>
      </c>
      <c r="J4162" s="25" t="str">
        <f>"00747619"</f>
        <v>00747619</v>
      </c>
      <c r="K4162" s="25" t="str">
        <f>"４９２　　　　　　　　　　　　　　　　　"</f>
        <v>４９２　　　　　　　　　　　　　　　　　</v>
      </c>
      <c r="L4162" s="25"/>
    </row>
    <row r="4163" spans="1:12" s="40" customFormat="1" ht="18" customHeight="1" x14ac:dyDescent="0.15">
      <c r="A4163" s="25">
        <v>5193</v>
      </c>
      <c r="B4163" s="25" t="s">
        <v>35</v>
      </c>
      <c r="C4163" s="25" t="s">
        <v>534</v>
      </c>
      <c r="D4163" s="25">
        <v>1</v>
      </c>
      <c r="E4163" s="25" t="s">
        <v>9</v>
      </c>
      <c r="F4163" s="38">
        <v>42500</v>
      </c>
      <c r="G4163" s="38" t="s">
        <v>669</v>
      </c>
      <c r="H4163" s="25" t="str">
        <f t="shared" si="132"/>
        <v>平成6年9月14日</v>
      </c>
      <c r="I4163" s="39">
        <f t="shared" si="133"/>
        <v>34591</v>
      </c>
      <c r="J4163" s="25" t="str">
        <f>"00747621"</f>
        <v>00747621</v>
      </c>
      <c r="K4163" s="25" t="str">
        <f>"４９３　　　　　　　　　　　　　　　　　"</f>
        <v>４９３　　　　　　　　　　　　　　　　　</v>
      </c>
      <c r="L4163" s="25"/>
    </row>
    <row r="4164" spans="1:12" s="40" customFormat="1" ht="18" customHeight="1" x14ac:dyDescent="0.15">
      <c r="A4164" s="25">
        <v>5194</v>
      </c>
      <c r="B4164" s="25" t="s">
        <v>35</v>
      </c>
      <c r="C4164" s="25" t="s">
        <v>534</v>
      </c>
      <c r="D4164" s="25">
        <v>1</v>
      </c>
      <c r="E4164" s="25" t="s">
        <v>9</v>
      </c>
      <c r="F4164" s="38">
        <v>42500</v>
      </c>
      <c r="G4164" s="38" t="s">
        <v>669</v>
      </c>
      <c r="H4164" s="25" t="str">
        <f t="shared" si="132"/>
        <v>平成6年9月14日</v>
      </c>
      <c r="I4164" s="39">
        <f t="shared" si="133"/>
        <v>34591</v>
      </c>
      <c r="J4164" s="25" t="str">
        <f>"00747623"</f>
        <v>00747623</v>
      </c>
      <c r="K4164" s="25" t="str">
        <f>"４９４　　　　　　　　　　　　　　　　　"</f>
        <v>４９４　　　　　　　　　　　　　　　　　</v>
      </c>
      <c r="L4164" s="25"/>
    </row>
    <row r="4165" spans="1:12" s="40" customFormat="1" ht="18" customHeight="1" x14ac:dyDescent="0.15">
      <c r="A4165" s="25">
        <v>5195</v>
      </c>
      <c r="B4165" s="25" t="s">
        <v>35</v>
      </c>
      <c r="C4165" s="25" t="s">
        <v>534</v>
      </c>
      <c r="D4165" s="25">
        <v>1</v>
      </c>
      <c r="E4165" s="25" t="s">
        <v>9</v>
      </c>
      <c r="F4165" s="38">
        <v>42500</v>
      </c>
      <c r="G4165" s="38" t="s">
        <v>669</v>
      </c>
      <c r="H4165" s="25" t="str">
        <f t="shared" si="132"/>
        <v>平成6年9月14日</v>
      </c>
      <c r="I4165" s="39">
        <f t="shared" si="133"/>
        <v>34591</v>
      </c>
      <c r="J4165" s="25" t="str">
        <f>"00747624"</f>
        <v>00747624</v>
      </c>
      <c r="K4165" s="25" t="str">
        <f>"４９５　　　　　　　　　　　　　　　　　"</f>
        <v>４９５　　　　　　　　　　　　　　　　　</v>
      </c>
      <c r="L4165" s="25"/>
    </row>
    <row r="4166" spans="1:12" s="40" customFormat="1" ht="18" customHeight="1" x14ac:dyDescent="0.15">
      <c r="A4166" s="25">
        <v>5196</v>
      </c>
      <c r="B4166" s="25" t="s">
        <v>35</v>
      </c>
      <c r="C4166" s="25" t="s">
        <v>534</v>
      </c>
      <c r="D4166" s="25">
        <v>1</v>
      </c>
      <c r="E4166" s="25" t="s">
        <v>9</v>
      </c>
      <c r="F4166" s="38">
        <v>42500</v>
      </c>
      <c r="G4166" s="38" t="s">
        <v>669</v>
      </c>
      <c r="H4166" s="25" t="str">
        <f t="shared" si="132"/>
        <v>平成6年9月14日</v>
      </c>
      <c r="I4166" s="39">
        <f t="shared" si="133"/>
        <v>34591</v>
      </c>
      <c r="J4166" s="25" t="str">
        <f>"00747626"</f>
        <v>00747626</v>
      </c>
      <c r="K4166" s="25" t="str">
        <f>"４９６　　　　　　　　　　　　　　　　　"</f>
        <v>４９６　　　　　　　　　　　　　　　　　</v>
      </c>
      <c r="L4166" s="25"/>
    </row>
    <row r="4167" spans="1:12" s="40" customFormat="1" ht="18" customHeight="1" x14ac:dyDescent="0.15">
      <c r="A4167" s="25">
        <v>5197</v>
      </c>
      <c r="B4167" s="25" t="s">
        <v>35</v>
      </c>
      <c r="C4167" s="25" t="s">
        <v>534</v>
      </c>
      <c r="D4167" s="25">
        <v>1</v>
      </c>
      <c r="E4167" s="25" t="s">
        <v>9</v>
      </c>
      <c r="F4167" s="38">
        <v>42500</v>
      </c>
      <c r="G4167" s="38" t="s">
        <v>669</v>
      </c>
      <c r="H4167" s="25" t="str">
        <f t="shared" si="132"/>
        <v>平成6年9月14日</v>
      </c>
      <c r="I4167" s="39">
        <f t="shared" si="133"/>
        <v>34591</v>
      </c>
      <c r="J4167" s="25" t="str">
        <f>"00747629"</f>
        <v>00747629</v>
      </c>
      <c r="K4167" s="25" t="str">
        <f>"４９７　　　　　　　　　　　　　　　　　"</f>
        <v>４９７　　　　　　　　　　　　　　　　　</v>
      </c>
      <c r="L4167" s="25"/>
    </row>
    <row r="4168" spans="1:12" s="40" customFormat="1" ht="18" customHeight="1" x14ac:dyDescent="0.15">
      <c r="A4168" s="25">
        <v>5198</v>
      </c>
      <c r="B4168" s="25" t="s">
        <v>35</v>
      </c>
      <c r="C4168" s="25" t="s">
        <v>534</v>
      </c>
      <c r="D4168" s="25">
        <v>1</v>
      </c>
      <c r="E4168" s="25" t="s">
        <v>9</v>
      </c>
      <c r="F4168" s="38">
        <v>42500</v>
      </c>
      <c r="G4168" s="38" t="s">
        <v>669</v>
      </c>
      <c r="H4168" s="25" t="str">
        <f t="shared" si="132"/>
        <v>平成6年9月14日</v>
      </c>
      <c r="I4168" s="39">
        <f t="shared" si="133"/>
        <v>34591</v>
      </c>
      <c r="J4168" s="25" t="str">
        <f>"00747631"</f>
        <v>00747631</v>
      </c>
      <c r="K4168" s="25" t="str">
        <f>"４９８　　　　　　　　　　　　　　　　　"</f>
        <v>４９８　　　　　　　　　　　　　　　　　</v>
      </c>
      <c r="L4168" s="25"/>
    </row>
    <row r="4169" spans="1:12" s="40" customFormat="1" ht="18" customHeight="1" x14ac:dyDescent="0.15">
      <c r="A4169" s="25">
        <v>5199</v>
      </c>
      <c r="B4169" s="25" t="s">
        <v>35</v>
      </c>
      <c r="C4169" s="25" t="s">
        <v>535</v>
      </c>
      <c r="D4169" s="25">
        <v>1</v>
      </c>
      <c r="E4169" s="25" t="s">
        <v>9</v>
      </c>
      <c r="F4169" s="38">
        <v>49749</v>
      </c>
      <c r="G4169" s="38" t="s">
        <v>669</v>
      </c>
      <c r="H4169" s="25" t="str">
        <f t="shared" si="132"/>
        <v>平成6年9月14日</v>
      </c>
      <c r="I4169" s="39">
        <f t="shared" si="133"/>
        <v>34591</v>
      </c>
      <c r="J4169" s="25" t="str">
        <f>"00747632"</f>
        <v>00747632</v>
      </c>
      <c r="K4169" s="25" t="str">
        <f>"４９９　　　　　　　　　　　　　　　　　"</f>
        <v>４９９　　　　　　　　　　　　　　　　　</v>
      </c>
      <c r="L4169" s="25"/>
    </row>
    <row r="4170" spans="1:12" s="40" customFormat="1" ht="18" customHeight="1" x14ac:dyDescent="0.15">
      <c r="A4170" s="25">
        <v>5200</v>
      </c>
      <c r="B4170" s="25" t="s">
        <v>35</v>
      </c>
      <c r="C4170" s="25" t="s">
        <v>535</v>
      </c>
      <c r="D4170" s="25">
        <v>1</v>
      </c>
      <c r="E4170" s="25" t="s">
        <v>9</v>
      </c>
      <c r="F4170" s="38">
        <v>49749</v>
      </c>
      <c r="G4170" s="38" t="s">
        <v>669</v>
      </c>
      <c r="H4170" s="25" t="str">
        <f t="shared" si="132"/>
        <v>平成6年9月14日</v>
      </c>
      <c r="I4170" s="39">
        <f t="shared" si="133"/>
        <v>34591</v>
      </c>
      <c r="J4170" s="25" t="str">
        <f>"00747634"</f>
        <v>00747634</v>
      </c>
      <c r="K4170" s="25" t="str">
        <f>"５００　　　　　　　　　　　　　　　　　"</f>
        <v>５００　　　　　　　　　　　　　　　　　</v>
      </c>
      <c r="L4170" s="25"/>
    </row>
    <row r="4171" spans="1:12" s="40" customFormat="1" ht="18" customHeight="1" x14ac:dyDescent="0.15">
      <c r="A4171" s="25">
        <v>5201</v>
      </c>
      <c r="B4171" s="25" t="s">
        <v>35</v>
      </c>
      <c r="C4171" s="25" t="s">
        <v>535</v>
      </c>
      <c r="D4171" s="25">
        <v>1</v>
      </c>
      <c r="E4171" s="25" t="s">
        <v>9</v>
      </c>
      <c r="F4171" s="38">
        <v>49749</v>
      </c>
      <c r="G4171" s="38" t="s">
        <v>669</v>
      </c>
      <c r="H4171" s="25" t="str">
        <f t="shared" si="132"/>
        <v>平成6年9月14日</v>
      </c>
      <c r="I4171" s="39">
        <f t="shared" si="133"/>
        <v>34591</v>
      </c>
      <c r="J4171" s="25" t="str">
        <f>"00747637"</f>
        <v>00747637</v>
      </c>
      <c r="K4171" s="25" t="str">
        <f>"５０１　　　　　　　　　　　　　　　　　"</f>
        <v>５０１　　　　　　　　　　　　　　　　　</v>
      </c>
      <c r="L4171" s="25"/>
    </row>
    <row r="4172" spans="1:12" s="40" customFormat="1" ht="18" customHeight="1" x14ac:dyDescent="0.15">
      <c r="A4172" s="25">
        <v>5202</v>
      </c>
      <c r="B4172" s="25" t="s">
        <v>35</v>
      </c>
      <c r="C4172" s="25" t="s">
        <v>535</v>
      </c>
      <c r="D4172" s="25">
        <v>1</v>
      </c>
      <c r="E4172" s="25" t="s">
        <v>9</v>
      </c>
      <c r="F4172" s="38">
        <v>49749</v>
      </c>
      <c r="G4172" s="38" t="s">
        <v>669</v>
      </c>
      <c r="H4172" s="25" t="str">
        <f t="shared" si="132"/>
        <v>平成6年9月14日</v>
      </c>
      <c r="I4172" s="39">
        <f t="shared" si="133"/>
        <v>34591</v>
      </c>
      <c r="J4172" s="25" t="str">
        <f>"00747639"</f>
        <v>00747639</v>
      </c>
      <c r="K4172" s="25" t="str">
        <f>"５０２　　　　　　　　　　　　　　　　　"</f>
        <v>５０２　　　　　　　　　　　　　　　　　</v>
      </c>
      <c r="L4172" s="25"/>
    </row>
    <row r="4173" spans="1:12" ht="18" customHeight="1" x14ac:dyDescent="0.15">
      <c r="A4173" s="1">
        <v>5555</v>
      </c>
      <c r="B4173" s="11" t="s">
        <v>536</v>
      </c>
      <c r="C4173" s="11" t="s">
        <v>578</v>
      </c>
      <c r="D4173" s="11">
        <v>1</v>
      </c>
      <c r="E4173" s="11" t="s">
        <v>9</v>
      </c>
      <c r="F4173" s="12">
        <v>22500</v>
      </c>
      <c r="G4173" s="12">
        <v>22500</v>
      </c>
      <c r="H4173" s="11" t="str">
        <f t="shared" si="132"/>
        <v>平成6年9月14日</v>
      </c>
      <c r="I4173" s="22">
        <f t="shared" si="133"/>
        <v>34591</v>
      </c>
      <c r="J4173" s="1" t="str">
        <f>"00748353"</f>
        <v>00748353</v>
      </c>
      <c r="K4173" s="1" t="str">
        <f>"６６２　　　　　　　　　　　　　　　　　"</f>
        <v>６６２　　　　　　　　　　　　　　　　　</v>
      </c>
      <c r="L4173" s="1"/>
    </row>
    <row r="4174" spans="1:12" ht="18" customHeight="1" x14ac:dyDescent="0.15">
      <c r="A4174" s="1">
        <v>5556</v>
      </c>
      <c r="B4174" s="11" t="s">
        <v>536</v>
      </c>
      <c r="C4174" s="11" t="s">
        <v>578</v>
      </c>
      <c r="D4174" s="11">
        <v>1</v>
      </c>
      <c r="E4174" s="11" t="s">
        <v>9</v>
      </c>
      <c r="F4174" s="12">
        <v>22500</v>
      </c>
      <c r="G4174" s="12">
        <v>22500</v>
      </c>
      <c r="H4174" s="11" t="str">
        <f t="shared" si="132"/>
        <v>平成6年9月14日</v>
      </c>
      <c r="I4174" s="22">
        <f t="shared" si="133"/>
        <v>34591</v>
      </c>
      <c r="J4174" s="1" t="str">
        <f>"00748355"</f>
        <v>00748355</v>
      </c>
      <c r="K4174" s="1" t="str">
        <f>"６６３　　　　　　　　　　　　　　　　　"</f>
        <v>６６３　　　　　　　　　　　　　　　　　</v>
      </c>
      <c r="L4174" s="1"/>
    </row>
    <row r="4175" spans="1:12" ht="18" customHeight="1" x14ac:dyDescent="0.15">
      <c r="A4175" s="1">
        <v>5557</v>
      </c>
      <c r="B4175" s="11" t="s">
        <v>536</v>
      </c>
      <c r="C4175" s="11" t="s">
        <v>578</v>
      </c>
      <c r="D4175" s="11">
        <v>1</v>
      </c>
      <c r="E4175" s="11" t="s">
        <v>9</v>
      </c>
      <c r="F4175" s="12">
        <v>22500</v>
      </c>
      <c r="G4175" s="12">
        <v>22500</v>
      </c>
      <c r="H4175" s="11" t="str">
        <f t="shared" ref="H4175:H4191" si="134">"平成6年9月14日"</f>
        <v>平成6年9月14日</v>
      </c>
      <c r="I4175" s="22">
        <f t="shared" si="133"/>
        <v>34591</v>
      </c>
      <c r="J4175" s="1" t="str">
        <f>"00748357"</f>
        <v>00748357</v>
      </c>
      <c r="K4175" s="1" t="str">
        <f>"６６４　　　　　　　　　　　　　　　　　"</f>
        <v>６６４　　　　　　　　　　　　　　　　　</v>
      </c>
      <c r="L4175" s="1"/>
    </row>
    <row r="4176" spans="1:12" ht="18" customHeight="1" x14ac:dyDescent="0.15">
      <c r="A4176" s="1">
        <v>5558</v>
      </c>
      <c r="B4176" s="11" t="s">
        <v>536</v>
      </c>
      <c r="C4176" s="11" t="s">
        <v>578</v>
      </c>
      <c r="D4176" s="11">
        <v>1</v>
      </c>
      <c r="E4176" s="11" t="s">
        <v>9</v>
      </c>
      <c r="F4176" s="12">
        <v>22500</v>
      </c>
      <c r="G4176" s="12">
        <v>22500</v>
      </c>
      <c r="H4176" s="11" t="str">
        <f t="shared" si="134"/>
        <v>平成6年9月14日</v>
      </c>
      <c r="I4176" s="22">
        <f t="shared" si="133"/>
        <v>34591</v>
      </c>
      <c r="J4176" s="1" t="str">
        <f>"00748359"</f>
        <v>00748359</v>
      </c>
      <c r="K4176" s="1" t="str">
        <f>"６６５　　　　　　　　　　　　　　　　　"</f>
        <v>６６５　　　　　　　　　　　　　　　　　</v>
      </c>
      <c r="L4176" s="1"/>
    </row>
    <row r="4177" spans="1:12" ht="18" customHeight="1" x14ac:dyDescent="0.15">
      <c r="A4177" s="1">
        <v>5559</v>
      </c>
      <c r="B4177" s="11" t="s">
        <v>536</v>
      </c>
      <c r="C4177" s="11" t="s">
        <v>578</v>
      </c>
      <c r="D4177" s="11">
        <v>1</v>
      </c>
      <c r="E4177" s="11" t="s">
        <v>9</v>
      </c>
      <c r="F4177" s="12">
        <v>22500</v>
      </c>
      <c r="G4177" s="12">
        <v>22500</v>
      </c>
      <c r="H4177" s="11" t="str">
        <f t="shared" si="134"/>
        <v>平成6年9月14日</v>
      </c>
      <c r="I4177" s="22">
        <f t="shared" si="133"/>
        <v>34591</v>
      </c>
      <c r="J4177" s="1" t="str">
        <f>"00748360"</f>
        <v>00748360</v>
      </c>
      <c r="K4177" s="1" t="str">
        <f>"６６６　　　　　　　　　　　　　　　　　"</f>
        <v>６６６　　　　　　　　　　　　　　　　　</v>
      </c>
      <c r="L4177" s="1"/>
    </row>
    <row r="4178" spans="1:12" ht="18" customHeight="1" x14ac:dyDescent="0.15">
      <c r="A4178" s="1">
        <v>5560</v>
      </c>
      <c r="B4178" s="11" t="s">
        <v>536</v>
      </c>
      <c r="C4178" s="11" t="s">
        <v>578</v>
      </c>
      <c r="D4178" s="11">
        <v>1</v>
      </c>
      <c r="E4178" s="11" t="s">
        <v>9</v>
      </c>
      <c r="F4178" s="12">
        <v>22500</v>
      </c>
      <c r="G4178" s="12">
        <v>22500</v>
      </c>
      <c r="H4178" s="11" t="str">
        <f t="shared" si="134"/>
        <v>平成6年9月14日</v>
      </c>
      <c r="I4178" s="22">
        <f t="shared" ref="I4178:I4241" si="135">DATEVALUE(H4178)</f>
        <v>34591</v>
      </c>
      <c r="J4178" s="1" t="str">
        <f>"00748362"</f>
        <v>00748362</v>
      </c>
      <c r="K4178" s="1" t="str">
        <f>"６６７　　　　　　　　　　　　　　　　　"</f>
        <v>６６７　　　　　　　　　　　　　　　　　</v>
      </c>
      <c r="L4178" s="1"/>
    </row>
    <row r="4179" spans="1:12" ht="18" customHeight="1" x14ac:dyDescent="0.15">
      <c r="A4179" s="1">
        <v>5561</v>
      </c>
      <c r="B4179" s="11" t="s">
        <v>536</v>
      </c>
      <c r="C4179" s="11" t="s">
        <v>578</v>
      </c>
      <c r="D4179" s="11">
        <v>1</v>
      </c>
      <c r="E4179" s="11" t="s">
        <v>9</v>
      </c>
      <c r="F4179" s="12">
        <v>22500</v>
      </c>
      <c r="G4179" s="12">
        <v>22500</v>
      </c>
      <c r="H4179" s="11" t="str">
        <f t="shared" si="134"/>
        <v>平成6年9月14日</v>
      </c>
      <c r="I4179" s="22">
        <f t="shared" si="135"/>
        <v>34591</v>
      </c>
      <c r="J4179" s="1" t="str">
        <f>"00748364"</f>
        <v>00748364</v>
      </c>
      <c r="K4179" s="1" t="str">
        <f>"６６８　　　　　　　　　　　　　　　　　"</f>
        <v>６６８　　　　　　　　　　　　　　　　　</v>
      </c>
      <c r="L4179" s="1"/>
    </row>
    <row r="4180" spans="1:12" ht="18" customHeight="1" x14ac:dyDescent="0.15">
      <c r="A4180" s="1">
        <v>5562</v>
      </c>
      <c r="B4180" s="11" t="s">
        <v>536</v>
      </c>
      <c r="C4180" s="11" t="s">
        <v>578</v>
      </c>
      <c r="D4180" s="11">
        <v>1</v>
      </c>
      <c r="E4180" s="11" t="s">
        <v>9</v>
      </c>
      <c r="F4180" s="12">
        <v>22500</v>
      </c>
      <c r="G4180" s="12">
        <v>22500</v>
      </c>
      <c r="H4180" s="11" t="str">
        <f t="shared" si="134"/>
        <v>平成6年9月14日</v>
      </c>
      <c r="I4180" s="22">
        <f t="shared" si="135"/>
        <v>34591</v>
      </c>
      <c r="J4180" s="1" t="str">
        <f>"00748366"</f>
        <v>00748366</v>
      </c>
      <c r="K4180" s="1" t="str">
        <f>"６６９　　　　　　　　　　　　　　　　　"</f>
        <v>６６９　　　　　　　　　　　　　　　　　</v>
      </c>
      <c r="L4180" s="1"/>
    </row>
    <row r="4181" spans="1:12" ht="18" customHeight="1" x14ac:dyDescent="0.15">
      <c r="A4181" s="1">
        <v>5563</v>
      </c>
      <c r="B4181" s="11" t="s">
        <v>536</v>
      </c>
      <c r="C4181" s="11" t="s">
        <v>578</v>
      </c>
      <c r="D4181" s="11">
        <v>1</v>
      </c>
      <c r="E4181" s="11" t="s">
        <v>9</v>
      </c>
      <c r="F4181" s="12">
        <v>22500</v>
      </c>
      <c r="G4181" s="12">
        <v>22500</v>
      </c>
      <c r="H4181" s="11" t="str">
        <f t="shared" si="134"/>
        <v>平成6年9月14日</v>
      </c>
      <c r="I4181" s="22">
        <f t="shared" si="135"/>
        <v>34591</v>
      </c>
      <c r="J4181" s="1" t="str">
        <f>"00748368"</f>
        <v>00748368</v>
      </c>
      <c r="K4181" s="1" t="str">
        <f>"６７０　　　　　　　　　　　　　　　　　"</f>
        <v>６７０　　　　　　　　　　　　　　　　　</v>
      </c>
      <c r="L4181" s="1"/>
    </row>
    <row r="4182" spans="1:12" ht="18" customHeight="1" x14ac:dyDescent="0.15">
      <c r="A4182" s="1">
        <v>5564</v>
      </c>
      <c r="B4182" s="11" t="s">
        <v>536</v>
      </c>
      <c r="C4182" s="11" t="s">
        <v>578</v>
      </c>
      <c r="D4182" s="11">
        <v>1</v>
      </c>
      <c r="E4182" s="11" t="s">
        <v>9</v>
      </c>
      <c r="F4182" s="12">
        <v>22500</v>
      </c>
      <c r="G4182" s="12">
        <v>22500</v>
      </c>
      <c r="H4182" s="11" t="str">
        <f t="shared" si="134"/>
        <v>平成6年9月14日</v>
      </c>
      <c r="I4182" s="22">
        <f t="shared" si="135"/>
        <v>34591</v>
      </c>
      <c r="J4182" s="1" t="str">
        <f>"00748370"</f>
        <v>00748370</v>
      </c>
      <c r="K4182" s="1" t="str">
        <f>"６７１　　　　　　　　　　　　　　　　　"</f>
        <v>６７１　　　　　　　　　　　　　　　　　</v>
      </c>
      <c r="L4182" s="1"/>
    </row>
    <row r="4183" spans="1:12" ht="18" customHeight="1" x14ac:dyDescent="0.15">
      <c r="A4183" s="1">
        <v>5565</v>
      </c>
      <c r="B4183" s="11" t="s">
        <v>536</v>
      </c>
      <c r="C4183" s="11" t="s">
        <v>579</v>
      </c>
      <c r="D4183" s="11">
        <v>1</v>
      </c>
      <c r="E4183" s="11" t="s">
        <v>9</v>
      </c>
      <c r="F4183" s="12">
        <v>38000</v>
      </c>
      <c r="G4183" s="12">
        <v>38000</v>
      </c>
      <c r="H4183" s="11" t="str">
        <f t="shared" si="134"/>
        <v>平成6年9月14日</v>
      </c>
      <c r="I4183" s="22">
        <f t="shared" si="135"/>
        <v>34591</v>
      </c>
      <c r="J4183" s="1" t="str">
        <f>"00748373"</f>
        <v>00748373</v>
      </c>
      <c r="K4183" s="1" t="str">
        <f>"６７２　　　　　　　　　　　　　　　　　"</f>
        <v>６７２　　　　　　　　　　　　　　　　　</v>
      </c>
      <c r="L4183" s="1"/>
    </row>
    <row r="4184" spans="1:12" ht="18" customHeight="1" x14ac:dyDescent="0.15">
      <c r="A4184" s="1">
        <v>5566</v>
      </c>
      <c r="B4184" s="11" t="s">
        <v>536</v>
      </c>
      <c r="C4184" s="11" t="s">
        <v>580</v>
      </c>
      <c r="D4184" s="11">
        <v>1</v>
      </c>
      <c r="E4184" s="11" t="s">
        <v>9</v>
      </c>
      <c r="F4184" s="12">
        <v>70000</v>
      </c>
      <c r="G4184" s="12">
        <v>70000</v>
      </c>
      <c r="H4184" s="11" t="str">
        <f t="shared" si="134"/>
        <v>平成6年9月14日</v>
      </c>
      <c r="I4184" s="22">
        <f t="shared" si="135"/>
        <v>34591</v>
      </c>
      <c r="J4184" s="1" t="str">
        <f>"00748375"</f>
        <v>00748375</v>
      </c>
      <c r="K4184" s="1" t="str">
        <f>"６７３　　　　　　　　　　　　　　　　　"</f>
        <v>６７３　　　　　　　　　　　　　　　　　</v>
      </c>
      <c r="L4184" s="1"/>
    </row>
    <row r="4185" spans="1:12" ht="18" customHeight="1" x14ac:dyDescent="0.15">
      <c r="A4185" s="1">
        <v>5567</v>
      </c>
      <c r="B4185" s="11" t="s">
        <v>536</v>
      </c>
      <c r="C4185" s="11" t="s">
        <v>580</v>
      </c>
      <c r="D4185" s="11">
        <v>1</v>
      </c>
      <c r="E4185" s="11" t="s">
        <v>9</v>
      </c>
      <c r="F4185" s="12">
        <v>70000</v>
      </c>
      <c r="G4185" s="12">
        <v>70000</v>
      </c>
      <c r="H4185" s="11" t="str">
        <f t="shared" si="134"/>
        <v>平成6年9月14日</v>
      </c>
      <c r="I4185" s="22">
        <f t="shared" si="135"/>
        <v>34591</v>
      </c>
      <c r="J4185" s="1" t="str">
        <f>"00748377"</f>
        <v>00748377</v>
      </c>
      <c r="K4185" s="1" t="str">
        <f>"６７４　　　　　　　　　　　　　　　　　"</f>
        <v>６７４　　　　　　　　　　　　　　　　　</v>
      </c>
      <c r="L4185" s="1"/>
    </row>
    <row r="4186" spans="1:12" ht="18" customHeight="1" x14ac:dyDescent="0.15">
      <c r="A4186" s="1">
        <v>5568</v>
      </c>
      <c r="B4186" s="11" t="s">
        <v>536</v>
      </c>
      <c r="C4186" s="11" t="s">
        <v>580</v>
      </c>
      <c r="D4186" s="11">
        <v>1</v>
      </c>
      <c r="E4186" s="11" t="s">
        <v>9</v>
      </c>
      <c r="F4186" s="12">
        <v>70000</v>
      </c>
      <c r="G4186" s="12">
        <v>70000</v>
      </c>
      <c r="H4186" s="11" t="str">
        <f t="shared" si="134"/>
        <v>平成6年9月14日</v>
      </c>
      <c r="I4186" s="22">
        <f t="shared" si="135"/>
        <v>34591</v>
      </c>
      <c r="J4186" s="1" t="str">
        <f>"00748379"</f>
        <v>00748379</v>
      </c>
      <c r="K4186" s="1" t="str">
        <f>"６７５　　　　　　　　　　　　　　　　　"</f>
        <v>６７５　　　　　　　　　　　　　　　　　</v>
      </c>
      <c r="L4186" s="1"/>
    </row>
    <row r="4187" spans="1:12" ht="18" customHeight="1" x14ac:dyDescent="0.15">
      <c r="A4187" s="1">
        <v>5569</v>
      </c>
      <c r="B4187" s="11" t="s">
        <v>536</v>
      </c>
      <c r="C4187" s="11" t="s">
        <v>580</v>
      </c>
      <c r="D4187" s="11">
        <v>1</v>
      </c>
      <c r="E4187" s="11" t="s">
        <v>9</v>
      </c>
      <c r="F4187" s="12">
        <v>70000</v>
      </c>
      <c r="G4187" s="12">
        <v>70000</v>
      </c>
      <c r="H4187" s="11" t="str">
        <f t="shared" si="134"/>
        <v>平成6年9月14日</v>
      </c>
      <c r="I4187" s="22">
        <f t="shared" si="135"/>
        <v>34591</v>
      </c>
      <c r="J4187" s="1" t="str">
        <f>"00748380"</f>
        <v>00748380</v>
      </c>
      <c r="K4187" s="1" t="str">
        <f>"６７６　　　　　　　　　　　　　　　　　"</f>
        <v>６７６　　　　　　　　　　　　　　　　　</v>
      </c>
      <c r="L4187" s="1"/>
    </row>
    <row r="4188" spans="1:12" ht="18" customHeight="1" x14ac:dyDescent="0.15">
      <c r="A4188" s="1">
        <v>5570</v>
      </c>
      <c r="B4188" s="11" t="s">
        <v>536</v>
      </c>
      <c r="C4188" s="11" t="s">
        <v>581</v>
      </c>
      <c r="D4188" s="11">
        <v>1</v>
      </c>
      <c r="E4188" s="11" t="s">
        <v>9</v>
      </c>
      <c r="F4188" s="12">
        <v>85000</v>
      </c>
      <c r="G4188" s="12">
        <v>85000</v>
      </c>
      <c r="H4188" s="11" t="str">
        <f t="shared" si="134"/>
        <v>平成6年9月14日</v>
      </c>
      <c r="I4188" s="22">
        <f t="shared" si="135"/>
        <v>34591</v>
      </c>
      <c r="J4188" s="1" t="str">
        <f>"00748382"</f>
        <v>00748382</v>
      </c>
      <c r="K4188" s="1" t="str">
        <f>"６７７　　　　　　　　　　　　　　　　　"</f>
        <v>６７７　　　　　　　　　　　　　　　　　</v>
      </c>
      <c r="L4188" s="1"/>
    </row>
    <row r="4189" spans="1:12" ht="18" customHeight="1" x14ac:dyDescent="0.15">
      <c r="A4189" s="1">
        <v>5571</v>
      </c>
      <c r="B4189" s="11" t="s">
        <v>536</v>
      </c>
      <c r="C4189" s="11" t="s">
        <v>581</v>
      </c>
      <c r="D4189" s="11">
        <v>1</v>
      </c>
      <c r="E4189" s="11" t="s">
        <v>9</v>
      </c>
      <c r="F4189" s="12">
        <v>85000</v>
      </c>
      <c r="G4189" s="12">
        <v>85000</v>
      </c>
      <c r="H4189" s="11" t="str">
        <f t="shared" si="134"/>
        <v>平成6年9月14日</v>
      </c>
      <c r="I4189" s="22">
        <f t="shared" si="135"/>
        <v>34591</v>
      </c>
      <c r="J4189" s="1" t="str">
        <f>"00748384"</f>
        <v>00748384</v>
      </c>
      <c r="K4189" s="1" t="str">
        <f>"６７８　　　　　　　　　　　　　　　　　"</f>
        <v>６７８　　　　　　　　　　　　　　　　　</v>
      </c>
      <c r="L4189" s="1"/>
    </row>
    <row r="4190" spans="1:12" ht="18" customHeight="1" x14ac:dyDescent="0.15">
      <c r="A4190" s="1">
        <v>5572</v>
      </c>
      <c r="B4190" s="11" t="s">
        <v>536</v>
      </c>
      <c r="C4190" s="11" t="s">
        <v>581</v>
      </c>
      <c r="D4190" s="11">
        <v>1</v>
      </c>
      <c r="E4190" s="11" t="s">
        <v>9</v>
      </c>
      <c r="F4190" s="12">
        <v>85000</v>
      </c>
      <c r="G4190" s="12">
        <v>85000</v>
      </c>
      <c r="H4190" s="11" t="str">
        <f t="shared" si="134"/>
        <v>平成6年9月14日</v>
      </c>
      <c r="I4190" s="22">
        <f t="shared" si="135"/>
        <v>34591</v>
      </c>
      <c r="J4190" s="1" t="str">
        <f>"00748387"</f>
        <v>00748387</v>
      </c>
      <c r="K4190" s="1" t="str">
        <f>"６７９　　　　　　　　　　　　　　　　　"</f>
        <v>６７９　　　　　　　　　　　　　　　　　</v>
      </c>
      <c r="L4190" s="1"/>
    </row>
    <row r="4191" spans="1:12" ht="18" customHeight="1" x14ac:dyDescent="0.15">
      <c r="A4191" s="1">
        <v>5573</v>
      </c>
      <c r="B4191" s="11" t="s">
        <v>536</v>
      </c>
      <c r="C4191" s="11" t="s">
        <v>581</v>
      </c>
      <c r="D4191" s="11">
        <v>1</v>
      </c>
      <c r="E4191" s="11" t="s">
        <v>9</v>
      </c>
      <c r="F4191" s="12">
        <v>85000</v>
      </c>
      <c r="G4191" s="12">
        <v>85000</v>
      </c>
      <c r="H4191" s="11" t="str">
        <f t="shared" si="134"/>
        <v>平成6年9月14日</v>
      </c>
      <c r="I4191" s="22">
        <f t="shared" si="135"/>
        <v>34591</v>
      </c>
      <c r="J4191" s="1" t="str">
        <f>"00748389"</f>
        <v>00748389</v>
      </c>
      <c r="K4191" s="1" t="str">
        <f>"６８０　　　　　　　　　　　　　　　　　"</f>
        <v>６８０　　　　　　　　　　　　　　　　　</v>
      </c>
      <c r="L4191" s="1"/>
    </row>
    <row r="4192" spans="1:12" ht="18" customHeight="1" x14ac:dyDescent="0.15">
      <c r="A4192" s="11">
        <v>4252</v>
      </c>
      <c r="B4192" s="11" t="s">
        <v>312</v>
      </c>
      <c r="C4192" s="11" t="s">
        <v>314</v>
      </c>
      <c r="D4192" s="11">
        <v>1</v>
      </c>
      <c r="E4192" s="11" t="s">
        <v>4</v>
      </c>
      <c r="F4192" s="12">
        <v>684000</v>
      </c>
      <c r="G4192" s="12">
        <v>684000</v>
      </c>
      <c r="H4192" s="11" t="str">
        <f>"平成6年9月15日"</f>
        <v>平成6年9月15日</v>
      </c>
      <c r="I4192" s="22">
        <f t="shared" si="135"/>
        <v>34592</v>
      </c>
      <c r="J4192" s="1" t="str">
        <f>"00745297"</f>
        <v>00745297</v>
      </c>
      <c r="K4192" s="1" t="str">
        <f>"３０１の２　　　　　　　　　　　　　　　"</f>
        <v>３０１の２　　　　　　　　　　　　　　　</v>
      </c>
      <c r="L4192" s="1"/>
    </row>
    <row r="4193" spans="1:12" ht="18" customHeight="1" x14ac:dyDescent="0.15">
      <c r="A4193" s="11">
        <v>14</v>
      </c>
      <c r="B4193" s="11" t="s">
        <v>28</v>
      </c>
      <c r="C4193" s="11" t="s">
        <v>29</v>
      </c>
      <c r="D4193" s="11">
        <v>1</v>
      </c>
      <c r="E4193" s="11" t="s">
        <v>4</v>
      </c>
      <c r="F4193" s="12">
        <v>2678000</v>
      </c>
      <c r="G4193" s="12">
        <v>2678000</v>
      </c>
      <c r="H4193" s="11" t="str">
        <f t="shared" ref="H4193:H4256" si="136">"平成6年9月22日"</f>
        <v>平成6年9月22日</v>
      </c>
      <c r="I4193" s="22">
        <f t="shared" si="135"/>
        <v>34599</v>
      </c>
      <c r="J4193" s="1" t="str">
        <f>"00003380"</f>
        <v>00003380</v>
      </c>
      <c r="K4193" s="1" t="str">
        <f>"７８９　　　　　　　　　　　　　　　　　"</f>
        <v>７８９　　　　　　　　　　　　　　　　　</v>
      </c>
      <c r="L4193" s="1"/>
    </row>
    <row r="4194" spans="1:12" ht="18" customHeight="1" x14ac:dyDescent="0.15">
      <c r="A4194" s="11">
        <v>15</v>
      </c>
      <c r="B4194" s="11" t="s">
        <v>30</v>
      </c>
      <c r="C4194" s="11" t="s">
        <v>31</v>
      </c>
      <c r="D4194" s="11">
        <v>1</v>
      </c>
      <c r="E4194" s="11" t="s">
        <v>4</v>
      </c>
      <c r="F4194" s="12">
        <v>1657270</v>
      </c>
      <c r="G4194" s="12">
        <v>1657270</v>
      </c>
      <c r="H4194" s="11" t="str">
        <f t="shared" si="136"/>
        <v>平成6年9月22日</v>
      </c>
      <c r="I4194" s="22">
        <f t="shared" si="135"/>
        <v>34599</v>
      </c>
      <c r="J4194" s="1" t="str">
        <f>"00003381"</f>
        <v>00003381</v>
      </c>
      <c r="K4194" s="1" t="str">
        <f>"３８８　　　　　　　　　　　　　　　　　"</f>
        <v>３８８　　　　　　　　　　　　　　　　　</v>
      </c>
      <c r="L4194" s="1"/>
    </row>
    <row r="4195" spans="1:12" ht="18" customHeight="1" x14ac:dyDescent="0.15">
      <c r="A4195" s="11">
        <v>16</v>
      </c>
      <c r="B4195" s="11" t="s">
        <v>30</v>
      </c>
      <c r="C4195" s="11" t="s">
        <v>32</v>
      </c>
      <c r="D4195" s="11">
        <v>1</v>
      </c>
      <c r="E4195" s="11" t="s">
        <v>4</v>
      </c>
      <c r="F4195" s="12">
        <v>1200980</v>
      </c>
      <c r="G4195" s="12">
        <v>1200980</v>
      </c>
      <c r="H4195" s="11" t="str">
        <f t="shared" si="136"/>
        <v>平成6年9月22日</v>
      </c>
      <c r="I4195" s="22">
        <f t="shared" si="135"/>
        <v>34599</v>
      </c>
      <c r="J4195" s="1" t="str">
        <f>"00003382"</f>
        <v>00003382</v>
      </c>
      <c r="K4195" s="1" t="str">
        <f>"３８７　　　　　　　　　　　　　　　　　"</f>
        <v>３８７　　　　　　　　　　　　　　　　　</v>
      </c>
      <c r="L4195" s="1"/>
    </row>
    <row r="4196" spans="1:12" ht="18" customHeight="1" x14ac:dyDescent="0.15">
      <c r="A4196" s="11">
        <v>17</v>
      </c>
      <c r="B4196" s="11" t="s">
        <v>33</v>
      </c>
      <c r="C4196" s="11" t="s">
        <v>34</v>
      </c>
      <c r="D4196" s="11">
        <v>1</v>
      </c>
      <c r="E4196" s="11" t="s">
        <v>4</v>
      </c>
      <c r="F4196" s="12">
        <v>1236000</v>
      </c>
      <c r="G4196" s="12">
        <v>1236000</v>
      </c>
      <c r="H4196" s="11" t="str">
        <f t="shared" si="136"/>
        <v>平成6年9月22日</v>
      </c>
      <c r="I4196" s="22">
        <f t="shared" si="135"/>
        <v>34599</v>
      </c>
      <c r="J4196" s="1" t="str">
        <f>"00003383"</f>
        <v>00003383</v>
      </c>
      <c r="K4196" s="1" t="str">
        <f>"３０７　　　　　　　　　　　　　　　　　"</f>
        <v>３０７　　　　　　　　　　　　　　　　　</v>
      </c>
      <c r="L4196" s="1"/>
    </row>
    <row r="4197" spans="1:12" s="40" customFormat="1" ht="18" customHeight="1" x14ac:dyDescent="0.15">
      <c r="A4197" s="25">
        <v>18</v>
      </c>
      <c r="B4197" s="25" t="s">
        <v>35</v>
      </c>
      <c r="C4197" s="25" t="s">
        <v>36</v>
      </c>
      <c r="D4197" s="25">
        <v>1</v>
      </c>
      <c r="E4197" s="25" t="s">
        <v>9</v>
      </c>
      <c r="F4197" s="38">
        <v>1297800</v>
      </c>
      <c r="G4197" s="38" t="s">
        <v>669</v>
      </c>
      <c r="H4197" s="25" t="str">
        <f t="shared" si="136"/>
        <v>平成6年9月22日</v>
      </c>
      <c r="I4197" s="39">
        <f t="shared" si="135"/>
        <v>34599</v>
      </c>
      <c r="J4197" s="25" t="str">
        <f>"00003393"</f>
        <v>00003393</v>
      </c>
      <c r="K4197" s="25" t="str">
        <f>"３６４　　　　　　　　　　　　　　　　　"</f>
        <v>３６４　　　　　　　　　　　　　　　　　</v>
      </c>
      <c r="L4197" s="25"/>
    </row>
    <row r="4198" spans="1:12" s="40" customFormat="1" ht="18" customHeight="1" x14ac:dyDescent="0.15">
      <c r="A4198" s="25">
        <v>19</v>
      </c>
      <c r="B4198" s="25" t="s">
        <v>35</v>
      </c>
      <c r="C4198" s="25" t="s">
        <v>37</v>
      </c>
      <c r="D4198" s="25">
        <v>1</v>
      </c>
      <c r="E4198" s="25" t="s">
        <v>9</v>
      </c>
      <c r="F4198" s="38">
        <v>1615040</v>
      </c>
      <c r="G4198" s="38" t="s">
        <v>669</v>
      </c>
      <c r="H4198" s="25" t="str">
        <f t="shared" si="136"/>
        <v>平成6年9月22日</v>
      </c>
      <c r="I4198" s="39">
        <f t="shared" si="135"/>
        <v>34599</v>
      </c>
      <c r="J4198" s="25" t="str">
        <f>"00003394"</f>
        <v>00003394</v>
      </c>
      <c r="K4198" s="25" t="str">
        <f>"３６２　　　　　　　　　　　　　　　　　"</f>
        <v>３６２　　　　　　　　　　　　　　　　　</v>
      </c>
      <c r="L4198" s="25"/>
    </row>
    <row r="4199" spans="1:12" s="40" customFormat="1" ht="18" customHeight="1" x14ac:dyDescent="0.15">
      <c r="A4199" s="25">
        <v>20</v>
      </c>
      <c r="B4199" s="25" t="s">
        <v>35</v>
      </c>
      <c r="C4199" s="25" t="s">
        <v>37</v>
      </c>
      <c r="D4199" s="25">
        <v>1</v>
      </c>
      <c r="E4199" s="25" t="s">
        <v>9</v>
      </c>
      <c r="F4199" s="38">
        <v>1615040</v>
      </c>
      <c r="G4199" s="38" t="s">
        <v>669</v>
      </c>
      <c r="H4199" s="25" t="str">
        <f t="shared" si="136"/>
        <v>平成6年9月22日</v>
      </c>
      <c r="I4199" s="39">
        <f t="shared" si="135"/>
        <v>34599</v>
      </c>
      <c r="J4199" s="25" t="str">
        <f>"00003395"</f>
        <v>00003395</v>
      </c>
      <c r="K4199" s="25" t="str">
        <f>"３６１　　　　　　　　　　　　　　　　　"</f>
        <v>３６１　　　　　　　　　　　　　　　　　</v>
      </c>
      <c r="L4199" s="25"/>
    </row>
    <row r="4200" spans="1:12" s="40" customFormat="1" ht="18" customHeight="1" x14ac:dyDescent="0.15">
      <c r="A4200" s="25">
        <v>21</v>
      </c>
      <c r="B4200" s="25" t="s">
        <v>35</v>
      </c>
      <c r="C4200" s="25" t="s">
        <v>36</v>
      </c>
      <c r="D4200" s="25">
        <v>1</v>
      </c>
      <c r="E4200" s="25" t="s">
        <v>9</v>
      </c>
      <c r="F4200" s="38">
        <v>1297800</v>
      </c>
      <c r="G4200" s="38" t="s">
        <v>669</v>
      </c>
      <c r="H4200" s="25" t="str">
        <f t="shared" si="136"/>
        <v>平成6年9月22日</v>
      </c>
      <c r="I4200" s="39">
        <f t="shared" si="135"/>
        <v>34599</v>
      </c>
      <c r="J4200" s="25" t="str">
        <f>"00003396"</f>
        <v>00003396</v>
      </c>
      <c r="K4200" s="25" t="str">
        <f>"３６３　　　　　　　　　　　　　　　　　"</f>
        <v>３６３　　　　　　　　　　　　　　　　　</v>
      </c>
      <c r="L4200" s="25"/>
    </row>
    <row r="4201" spans="1:12" ht="18" customHeight="1" x14ac:dyDescent="0.15">
      <c r="A4201" s="11">
        <v>559</v>
      </c>
      <c r="B4201" s="11" t="s">
        <v>28</v>
      </c>
      <c r="C4201" s="11" t="s">
        <v>144</v>
      </c>
      <c r="D4201" s="11">
        <v>1</v>
      </c>
      <c r="E4201" s="11" t="s">
        <v>4</v>
      </c>
      <c r="F4201" s="12">
        <v>369500</v>
      </c>
      <c r="G4201" s="12">
        <v>369500</v>
      </c>
      <c r="H4201" s="11" t="str">
        <f t="shared" si="136"/>
        <v>平成6年9月22日</v>
      </c>
      <c r="I4201" s="22">
        <f t="shared" si="135"/>
        <v>34599</v>
      </c>
      <c r="J4201" s="1" t="str">
        <f>"00737489"</f>
        <v>00737489</v>
      </c>
      <c r="K4201" s="1" t="str">
        <f>"７９０　　　　　　　　　　　　　　　　　"</f>
        <v>７９０　　　　　　　　　　　　　　　　　</v>
      </c>
      <c r="L4201" s="1"/>
    </row>
    <row r="4202" spans="1:12" ht="18" customHeight="1" x14ac:dyDescent="0.15">
      <c r="A4202" s="11">
        <v>560</v>
      </c>
      <c r="B4202" s="11" t="s">
        <v>28</v>
      </c>
      <c r="C4202" s="11" t="s">
        <v>144</v>
      </c>
      <c r="D4202" s="11">
        <v>1</v>
      </c>
      <c r="E4202" s="11" t="s">
        <v>4</v>
      </c>
      <c r="F4202" s="12">
        <v>369500</v>
      </c>
      <c r="G4202" s="12">
        <v>369500</v>
      </c>
      <c r="H4202" s="11" t="str">
        <f t="shared" si="136"/>
        <v>平成6年9月22日</v>
      </c>
      <c r="I4202" s="22">
        <f t="shared" si="135"/>
        <v>34599</v>
      </c>
      <c r="J4202" s="1" t="str">
        <f>"00737491"</f>
        <v>00737491</v>
      </c>
      <c r="K4202" s="1" t="str">
        <f>"７９１　　　　　　　　　　　　　　　　　"</f>
        <v>７９１　　　　　　　　　　　　　　　　　</v>
      </c>
      <c r="L4202" s="1"/>
    </row>
    <row r="4203" spans="1:12" ht="18" customHeight="1" x14ac:dyDescent="0.15">
      <c r="A4203" s="11">
        <v>561</v>
      </c>
      <c r="B4203" s="11" t="s">
        <v>28</v>
      </c>
      <c r="C4203" s="11" t="s">
        <v>144</v>
      </c>
      <c r="D4203" s="11">
        <v>1</v>
      </c>
      <c r="E4203" s="11" t="s">
        <v>4</v>
      </c>
      <c r="F4203" s="12">
        <v>369500</v>
      </c>
      <c r="G4203" s="12">
        <v>369500</v>
      </c>
      <c r="H4203" s="11" t="str">
        <f t="shared" si="136"/>
        <v>平成6年9月22日</v>
      </c>
      <c r="I4203" s="22">
        <f t="shared" si="135"/>
        <v>34599</v>
      </c>
      <c r="J4203" s="1" t="str">
        <f>"00737493"</f>
        <v>00737493</v>
      </c>
      <c r="K4203" s="1" t="str">
        <f>"７９２　　　　　　　　　　　　　　　　　"</f>
        <v>７９２　　　　　　　　　　　　　　　　　</v>
      </c>
      <c r="L4203" s="1"/>
    </row>
    <row r="4204" spans="1:12" ht="18" customHeight="1" x14ac:dyDescent="0.15">
      <c r="A4204" s="11">
        <v>562</v>
      </c>
      <c r="B4204" s="11" t="s">
        <v>28</v>
      </c>
      <c r="C4204" s="11" t="s">
        <v>144</v>
      </c>
      <c r="D4204" s="11">
        <v>1</v>
      </c>
      <c r="E4204" s="11" t="s">
        <v>4</v>
      </c>
      <c r="F4204" s="12">
        <v>369500</v>
      </c>
      <c r="G4204" s="12">
        <v>369500</v>
      </c>
      <c r="H4204" s="11" t="str">
        <f t="shared" si="136"/>
        <v>平成6年9月22日</v>
      </c>
      <c r="I4204" s="22">
        <f t="shared" si="135"/>
        <v>34599</v>
      </c>
      <c r="J4204" s="1" t="str">
        <f>"00737495"</f>
        <v>00737495</v>
      </c>
      <c r="K4204" s="1" t="str">
        <f>"７９３　　　　　　　　　　　　　　　　　"</f>
        <v>７９３　　　　　　　　　　　　　　　　　</v>
      </c>
      <c r="L4204" s="1"/>
    </row>
    <row r="4205" spans="1:12" ht="18" customHeight="1" x14ac:dyDescent="0.15">
      <c r="A4205" s="11">
        <v>563</v>
      </c>
      <c r="B4205" s="11" t="s">
        <v>28</v>
      </c>
      <c r="C4205" s="11" t="s">
        <v>144</v>
      </c>
      <c r="D4205" s="11">
        <v>1</v>
      </c>
      <c r="E4205" s="11" t="s">
        <v>4</v>
      </c>
      <c r="F4205" s="12">
        <v>369500</v>
      </c>
      <c r="G4205" s="12">
        <v>369500</v>
      </c>
      <c r="H4205" s="11" t="str">
        <f t="shared" si="136"/>
        <v>平成6年9月22日</v>
      </c>
      <c r="I4205" s="22">
        <f t="shared" si="135"/>
        <v>34599</v>
      </c>
      <c r="J4205" s="1" t="str">
        <f>"00737497"</f>
        <v>00737497</v>
      </c>
      <c r="K4205" s="1" t="str">
        <f>"７９４　　　　　　　　　　　　　　　　　"</f>
        <v>７９４　　　　　　　　　　　　　　　　　</v>
      </c>
      <c r="L4205" s="1"/>
    </row>
    <row r="4206" spans="1:12" ht="18" customHeight="1" x14ac:dyDescent="0.15">
      <c r="A4206" s="11">
        <v>564</v>
      </c>
      <c r="B4206" s="11" t="s">
        <v>28</v>
      </c>
      <c r="C4206" s="11" t="s">
        <v>144</v>
      </c>
      <c r="D4206" s="11">
        <v>1</v>
      </c>
      <c r="E4206" s="11" t="s">
        <v>4</v>
      </c>
      <c r="F4206" s="12">
        <v>369500</v>
      </c>
      <c r="G4206" s="12">
        <v>369500</v>
      </c>
      <c r="H4206" s="11" t="str">
        <f t="shared" si="136"/>
        <v>平成6年9月22日</v>
      </c>
      <c r="I4206" s="22">
        <f t="shared" si="135"/>
        <v>34599</v>
      </c>
      <c r="J4206" s="1" t="str">
        <f>"00737499"</f>
        <v>00737499</v>
      </c>
      <c r="K4206" s="1" t="str">
        <f>"７９５　　　　　　　　　　　　　　　　　"</f>
        <v>７９５　　　　　　　　　　　　　　　　　</v>
      </c>
      <c r="L4206" s="1"/>
    </row>
    <row r="4207" spans="1:12" ht="18" customHeight="1" x14ac:dyDescent="0.15">
      <c r="A4207" s="11">
        <v>565</v>
      </c>
      <c r="B4207" s="11" t="s">
        <v>28</v>
      </c>
      <c r="C4207" s="11" t="s">
        <v>144</v>
      </c>
      <c r="D4207" s="11">
        <v>1</v>
      </c>
      <c r="E4207" s="11" t="s">
        <v>4</v>
      </c>
      <c r="F4207" s="12">
        <v>369500</v>
      </c>
      <c r="G4207" s="12">
        <v>369500</v>
      </c>
      <c r="H4207" s="11" t="str">
        <f t="shared" si="136"/>
        <v>平成6年9月22日</v>
      </c>
      <c r="I4207" s="22">
        <f t="shared" si="135"/>
        <v>34599</v>
      </c>
      <c r="J4207" s="1" t="str">
        <f>"00737501"</f>
        <v>00737501</v>
      </c>
      <c r="K4207" s="1" t="str">
        <f>"７９６　　　　　　　　　　　　　　　　　"</f>
        <v>７９６　　　　　　　　　　　　　　　　　</v>
      </c>
      <c r="L4207" s="1"/>
    </row>
    <row r="4208" spans="1:12" ht="18" customHeight="1" x14ac:dyDescent="0.15">
      <c r="A4208" s="11">
        <v>566</v>
      </c>
      <c r="B4208" s="11" t="s">
        <v>28</v>
      </c>
      <c r="C4208" s="11" t="s">
        <v>144</v>
      </c>
      <c r="D4208" s="11">
        <v>1</v>
      </c>
      <c r="E4208" s="11" t="s">
        <v>4</v>
      </c>
      <c r="F4208" s="12">
        <v>369500</v>
      </c>
      <c r="G4208" s="12">
        <v>369500</v>
      </c>
      <c r="H4208" s="11" t="str">
        <f t="shared" si="136"/>
        <v>平成6年9月22日</v>
      </c>
      <c r="I4208" s="22">
        <f t="shared" si="135"/>
        <v>34599</v>
      </c>
      <c r="J4208" s="1" t="str">
        <f>"00737503"</f>
        <v>00737503</v>
      </c>
      <c r="K4208" s="1" t="str">
        <f>"７９７　　　　　　　　　　　　　　　　　"</f>
        <v>７９７　　　　　　　　　　　　　　　　　</v>
      </c>
      <c r="L4208" s="1"/>
    </row>
    <row r="4209" spans="1:12" ht="18" customHeight="1" x14ac:dyDescent="0.15">
      <c r="A4209" s="11">
        <v>567</v>
      </c>
      <c r="B4209" s="11" t="s">
        <v>28</v>
      </c>
      <c r="C4209" s="11" t="s">
        <v>144</v>
      </c>
      <c r="D4209" s="11">
        <v>1</v>
      </c>
      <c r="E4209" s="11" t="s">
        <v>4</v>
      </c>
      <c r="F4209" s="12">
        <v>369500</v>
      </c>
      <c r="G4209" s="12">
        <v>369500</v>
      </c>
      <c r="H4209" s="11" t="str">
        <f t="shared" si="136"/>
        <v>平成6年9月22日</v>
      </c>
      <c r="I4209" s="22">
        <f t="shared" si="135"/>
        <v>34599</v>
      </c>
      <c r="J4209" s="1" t="str">
        <f>"00737505"</f>
        <v>00737505</v>
      </c>
      <c r="K4209" s="1" t="str">
        <f>"７９８　　　　　　　　　　　　　　　　　"</f>
        <v>７９８　　　　　　　　　　　　　　　　　</v>
      </c>
      <c r="L4209" s="1"/>
    </row>
    <row r="4210" spans="1:12" ht="18" customHeight="1" x14ac:dyDescent="0.15">
      <c r="A4210" s="11">
        <v>568</v>
      </c>
      <c r="B4210" s="11" t="s">
        <v>28</v>
      </c>
      <c r="C4210" s="11" t="s">
        <v>144</v>
      </c>
      <c r="D4210" s="11">
        <v>1</v>
      </c>
      <c r="E4210" s="11" t="s">
        <v>4</v>
      </c>
      <c r="F4210" s="12">
        <v>369500</v>
      </c>
      <c r="G4210" s="12">
        <v>369500</v>
      </c>
      <c r="H4210" s="11" t="str">
        <f t="shared" si="136"/>
        <v>平成6年9月22日</v>
      </c>
      <c r="I4210" s="22">
        <f t="shared" si="135"/>
        <v>34599</v>
      </c>
      <c r="J4210" s="1" t="str">
        <f>"00737507"</f>
        <v>00737507</v>
      </c>
      <c r="K4210" s="1" t="str">
        <f>"７９９　　　　　　　　　　　　　　　　　"</f>
        <v>７９９　　　　　　　　　　　　　　　　　</v>
      </c>
      <c r="L4210" s="1"/>
    </row>
    <row r="4211" spans="1:12" ht="18" customHeight="1" x14ac:dyDescent="0.15">
      <c r="A4211" s="11">
        <v>569</v>
      </c>
      <c r="B4211" s="11" t="s">
        <v>28</v>
      </c>
      <c r="C4211" s="11" t="s">
        <v>144</v>
      </c>
      <c r="D4211" s="11">
        <v>1</v>
      </c>
      <c r="E4211" s="11" t="s">
        <v>4</v>
      </c>
      <c r="F4211" s="12">
        <v>369500</v>
      </c>
      <c r="G4211" s="12">
        <v>369500</v>
      </c>
      <c r="H4211" s="11" t="str">
        <f t="shared" si="136"/>
        <v>平成6年9月22日</v>
      </c>
      <c r="I4211" s="22">
        <f t="shared" si="135"/>
        <v>34599</v>
      </c>
      <c r="J4211" s="1" t="str">
        <f>"00737509"</f>
        <v>00737509</v>
      </c>
      <c r="K4211" s="1" t="str">
        <f>"８００　　　　　　　　　　　　　　　　　"</f>
        <v>８００　　　　　　　　　　　　　　　　　</v>
      </c>
      <c r="L4211" s="1"/>
    </row>
    <row r="4212" spans="1:12" ht="18" customHeight="1" x14ac:dyDescent="0.15">
      <c r="A4212" s="11">
        <v>570</v>
      </c>
      <c r="B4212" s="11" t="s">
        <v>28</v>
      </c>
      <c r="C4212" s="11" t="s">
        <v>144</v>
      </c>
      <c r="D4212" s="11">
        <v>1</v>
      </c>
      <c r="E4212" s="11" t="s">
        <v>4</v>
      </c>
      <c r="F4212" s="12">
        <v>369500</v>
      </c>
      <c r="G4212" s="12">
        <v>369500</v>
      </c>
      <c r="H4212" s="11" t="str">
        <f t="shared" si="136"/>
        <v>平成6年9月22日</v>
      </c>
      <c r="I4212" s="22">
        <f t="shared" si="135"/>
        <v>34599</v>
      </c>
      <c r="J4212" s="1" t="str">
        <f>"00737511"</f>
        <v>00737511</v>
      </c>
      <c r="K4212" s="1" t="str">
        <f>"８０１　　　　　　　　　　　　　　　　　"</f>
        <v>８０１　　　　　　　　　　　　　　　　　</v>
      </c>
      <c r="L4212" s="1"/>
    </row>
    <row r="4213" spans="1:12" ht="18" customHeight="1" x14ac:dyDescent="0.15">
      <c r="A4213" s="11">
        <v>571</v>
      </c>
      <c r="B4213" s="11" t="s">
        <v>28</v>
      </c>
      <c r="C4213" s="11" t="s">
        <v>144</v>
      </c>
      <c r="D4213" s="11">
        <v>1</v>
      </c>
      <c r="E4213" s="11" t="s">
        <v>4</v>
      </c>
      <c r="F4213" s="12">
        <v>369500</v>
      </c>
      <c r="G4213" s="12">
        <v>369500</v>
      </c>
      <c r="H4213" s="11" t="str">
        <f t="shared" si="136"/>
        <v>平成6年9月22日</v>
      </c>
      <c r="I4213" s="22">
        <f t="shared" si="135"/>
        <v>34599</v>
      </c>
      <c r="J4213" s="1" t="str">
        <f>"00737513"</f>
        <v>00737513</v>
      </c>
      <c r="K4213" s="1" t="str">
        <f>"８０２　　　　　　　　　　　　　　　　　"</f>
        <v>８０２　　　　　　　　　　　　　　　　　</v>
      </c>
      <c r="L4213" s="1"/>
    </row>
    <row r="4214" spans="1:12" ht="18" customHeight="1" x14ac:dyDescent="0.15">
      <c r="A4214" s="11">
        <v>572</v>
      </c>
      <c r="B4214" s="11" t="s">
        <v>28</v>
      </c>
      <c r="C4214" s="11" t="s">
        <v>144</v>
      </c>
      <c r="D4214" s="11">
        <v>1</v>
      </c>
      <c r="E4214" s="11" t="s">
        <v>4</v>
      </c>
      <c r="F4214" s="12">
        <v>369500</v>
      </c>
      <c r="G4214" s="12">
        <v>369500</v>
      </c>
      <c r="H4214" s="11" t="str">
        <f t="shared" si="136"/>
        <v>平成6年9月22日</v>
      </c>
      <c r="I4214" s="22">
        <f t="shared" si="135"/>
        <v>34599</v>
      </c>
      <c r="J4214" s="1" t="str">
        <f>"00737515"</f>
        <v>00737515</v>
      </c>
      <c r="K4214" s="1" t="str">
        <f>"８０３　　　　　　　　　　　　　　　　　"</f>
        <v>８０３　　　　　　　　　　　　　　　　　</v>
      </c>
      <c r="L4214" s="1"/>
    </row>
    <row r="4215" spans="1:12" ht="18" customHeight="1" x14ac:dyDescent="0.15">
      <c r="A4215" s="11">
        <v>573</v>
      </c>
      <c r="B4215" s="11" t="s">
        <v>28</v>
      </c>
      <c r="C4215" s="11" t="s">
        <v>144</v>
      </c>
      <c r="D4215" s="11">
        <v>1</v>
      </c>
      <c r="E4215" s="11" t="s">
        <v>4</v>
      </c>
      <c r="F4215" s="12">
        <v>369500</v>
      </c>
      <c r="G4215" s="12">
        <v>369500</v>
      </c>
      <c r="H4215" s="11" t="str">
        <f t="shared" si="136"/>
        <v>平成6年9月22日</v>
      </c>
      <c r="I4215" s="22">
        <f t="shared" si="135"/>
        <v>34599</v>
      </c>
      <c r="J4215" s="1" t="str">
        <f>"00737517"</f>
        <v>00737517</v>
      </c>
      <c r="K4215" s="1" t="str">
        <f>"８０４　　　　　　　　　　　　　　　　　"</f>
        <v>８０４　　　　　　　　　　　　　　　　　</v>
      </c>
      <c r="L4215" s="1"/>
    </row>
    <row r="4216" spans="1:12" ht="18" customHeight="1" x14ac:dyDescent="0.15">
      <c r="A4216" s="11">
        <v>574</v>
      </c>
      <c r="B4216" s="11" t="s">
        <v>28</v>
      </c>
      <c r="C4216" s="11" t="s">
        <v>144</v>
      </c>
      <c r="D4216" s="11">
        <v>1</v>
      </c>
      <c r="E4216" s="11" t="s">
        <v>4</v>
      </c>
      <c r="F4216" s="12">
        <v>369500</v>
      </c>
      <c r="G4216" s="12">
        <v>369500</v>
      </c>
      <c r="H4216" s="11" t="str">
        <f t="shared" si="136"/>
        <v>平成6年9月22日</v>
      </c>
      <c r="I4216" s="22">
        <f t="shared" si="135"/>
        <v>34599</v>
      </c>
      <c r="J4216" s="1" t="str">
        <f>"00737519"</f>
        <v>00737519</v>
      </c>
      <c r="K4216" s="1" t="str">
        <f>"８０５　　　　　　　　　　　　　　　　　"</f>
        <v>８０５　　　　　　　　　　　　　　　　　</v>
      </c>
      <c r="L4216" s="1"/>
    </row>
    <row r="4217" spans="1:12" ht="18" customHeight="1" x14ac:dyDescent="0.15">
      <c r="A4217" s="11">
        <v>575</v>
      </c>
      <c r="B4217" s="11" t="s">
        <v>28</v>
      </c>
      <c r="C4217" s="11" t="s">
        <v>144</v>
      </c>
      <c r="D4217" s="11">
        <v>1</v>
      </c>
      <c r="E4217" s="11" t="s">
        <v>4</v>
      </c>
      <c r="F4217" s="12">
        <v>369500</v>
      </c>
      <c r="G4217" s="12">
        <v>369500</v>
      </c>
      <c r="H4217" s="11" t="str">
        <f t="shared" si="136"/>
        <v>平成6年9月22日</v>
      </c>
      <c r="I4217" s="22">
        <f t="shared" si="135"/>
        <v>34599</v>
      </c>
      <c r="J4217" s="1" t="str">
        <f>"00737521"</f>
        <v>00737521</v>
      </c>
      <c r="K4217" s="1" t="str">
        <f>"８０６　　　　　　　　　　　　　　　　　"</f>
        <v>８０６　　　　　　　　　　　　　　　　　</v>
      </c>
      <c r="L4217" s="1"/>
    </row>
    <row r="4218" spans="1:12" ht="18" customHeight="1" x14ac:dyDescent="0.15">
      <c r="A4218" s="11">
        <v>576</v>
      </c>
      <c r="B4218" s="11" t="s">
        <v>28</v>
      </c>
      <c r="C4218" s="11" t="s">
        <v>144</v>
      </c>
      <c r="D4218" s="11">
        <v>1</v>
      </c>
      <c r="E4218" s="11" t="s">
        <v>4</v>
      </c>
      <c r="F4218" s="12">
        <v>369500</v>
      </c>
      <c r="G4218" s="12">
        <v>369500</v>
      </c>
      <c r="H4218" s="11" t="str">
        <f t="shared" si="136"/>
        <v>平成6年9月22日</v>
      </c>
      <c r="I4218" s="22">
        <f t="shared" si="135"/>
        <v>34599</v>
      </c>
      <c r="J4218" s="1" t="str">
        <f>"00737523"</f>
        <v>00737523</v>
      </c>
      <c r="K4218" s="1" t="str">
        <f>"８０７　　　　　　　　　　　　　　　　　"</f>
        <v>８０７　　　　　　　　　　　　　　　　　</v>
      </c>
      <c r="L4218" s="1"/>
    </row>
    <row r="4219" spans="1:12" ht="18" customHeight="1" x14ac:dyDescent="0.15">
      <c r="A4219" s="11">
        <v>577</v>
      </c>
      <c r="B4219" s="11" t="s">
        <v>28</v>
      </c>
      <c r="C4219" s="11" t="s">
        <v>144</v>
      </c>
      <c r="D4219" s="11">
        <v>1</v>
      </c>
      <c r="E4219" s="11" t="s">
        <v>4</v>
      </c>
      <c r="F4219" s="12">
        <v>369500</v>
      </c>
      <c r="G4219" s="12">
        <v>369500</v>
      </c>
      <c r="H4219" s="11" t="str">
        <f t="shared" si="136"/>
        <v>平成6年9月22日</v>
      </c>
      <c r="I4219" s="22">
        <f t="shared" si="135"/>
        <v>34599</v>
      </c>
      <c r="J4219" s="1" t="str">
        <f>"00737525"</f>
        <v>00737525</v>
      </c>
      <c r="K4219" s="1" t="str">
        <f>"８０８　　　　　　　　　　　　　　　　　"</f>
        <v>８０８　　　　　　　　　　　　　　　　　</v>
      </c>
      <c r="L4219" s="1"/>
    </row>
    <row r="4220" spans="1:12" ht="18" customHeight="1" x14ac:dyDescent="0.15">
      <c r="A4220" s="11">
        <v>578</v>
      </c>
      <c r="B4220" s="11" t="s">
        <v>28</v>
      </c>
      <c r="C4220" s="11" t="s">
        <v>144</v>
      </c>
      <c r="D4220" s="11">
        <v>1</v>
      </c>
      <c r="E4220" s="11" t="s">
        <v>4</v>
      </c>
      <c r="F4220" s="12">
        <v>369500</v>
      </c>
      <c r="G4220" s="12">
        <v>369500</v>
      </c>
      <c r="H4220" s="11" t="str">
        <f t="shared" si="136"/>
        <v>平成6年9月22日</v>
      </c>
      <c r="I4220" s="22">
        <f t="shared" si="135"/>
        <v>34599</v>
      </c>
      <c r="J4220" s="1" t="str">
        <f>"00737527"</f>
        <v>00737527</v>
      </c>
      <c r="K4220" s="1" t="str">
        <f>"８０９　　　　　　　　　　　　　　　　　"</f>
        <v>８０９　　　　　　　　　　　　　　　　　</v>
      </c>
      <c r="L4220" s="1"/>
    </row>
    <row r="4221" spans="1:12" ht="18" customHeight="1" x14ac:dyDescent="0.15">
      <c r="A4221" s="11">
        <v>579</v>
      </c>
      <c r="B4221" s="11" t="s">
        <v>28</v>
      </c>
      <c r="C4221" s="11" t="s">
        <v>144</v>
      </c>
      <c r="D4221" s="11">
        <v>1</v>
      </c>
      <c r="E4221" s="11" t="s">
        <v>4</v>
      </c>
      <c r="F4221" s="12">
        <v>369500</v>
      </c>
      <c r="G4221" s="12">
        <v>369500</v>
      </c>
      <c r="H4221" s="11" t="str">
        <f t="shared" si="136"/>
        <v>平成6年9月22日</v>
      </c>
      <c r="I4221" s="22">
        <f t="shared" si="135"/>
        <v>34599</v>
      </c>
      <c r="J4221" s="1" t="str">
        <f>"00737529"</f>
        <v>00737529</v>
      </c>
      <c r="K4221" s="1" t="str">
        <f>"８１０　　　　　　　　　　　　　　　　　"</f>
        <v>８１０　　　　　　　　　　　　　　　　　</v>
      </c>
      <c r="L4221" s="1"/>
    </row>
    <row r="4222" spans="1:12" ht="18" customHeight="1" x14ac:dyDescent="0.15">
      <c r="A4222" s="11">
        <v>580</v>
      </c>
      <c r="B4222" s="11" t="s">
        <v>28</v>
      </c>
      <c r="C4222" s="11" t="s">
        <v>144</v>
      </c>
      <c r="D4222" s="11">
        <v>1</v>
      </c>
      <c r="E4222" s="11" t="s">
        <v>4</v>
      </c>
      <c r="F4222" s="12">
        <v>369500</v>
      </c>
      <c r="G4222" s="12">
        <v>369500</v>
      </c>
      <c r="H4222" s="11" t="str">
        <f t="shared" si="136"/>
        <v>平成6年9月22日</v>
      </c>
      <c r="I4222" s="22">
        <f t="shared" si="135"/>
        <v>34599</v>
      </c>
      <c r="J4222" s="1" t="str">
        <f>"00737531"</f>
        <v>00737531</v>
      </c>
      <c r="K4222" s="1" t="str">
        <f>"８１１　　　　　　　　　　　　　　　　　"</f>
        <v>８１１　　　　　　　　　　　　　　　　　</v>
      </c>
      <c r="L4222" s="1"/>
    </row>
    <row r="4223" spans="1:12" ht="18" customHeight="1" x14ac:dyDescent="0.15">
      <c r="A4223" s="11">
        <v>581</v>
      </c>
      <c r="B4223" s="11" t="s">
        <v>28</v>
      </c>
      <c r="C4223" s="11" t="s">
        <v>144</v>
      </c>
      <c r="D4223" s="11">
        <v>1</v>
      </c>
      <c r="E4223" s="11" t="s">
        <v>4</v>
      </c>
      <c r="F4223" s="12">
        <v>369500</v>
      </c>
      <c r="G4223" s="12">
        <v>369500</v>
      </c>
      <c r="H4223" s="11" t="str">
        <f t="shared" si="136"/>
        <v>平成6年9月22日</v>
      </c>
      <c r="I4223" s="22">
        <f t="shared" si="135"/>
        <v>34599</v>
      </c>
      <c r="J4223" s="1" t="str">
        <f>"00737533"</f>
        <v>00737533</v>
      </c>
      <c r="K4223" s="1" t="str">
        <f>"８１２　　　　　　　　　　　　　　　　　"</f>
        <v>８１２　　　　　　　　　　　　　　　　　</v>
      </c>
      <c r="L4223" s="1"/>
    </row>
    <row r="4224" spans="1:12" ht="18" customHeight="1" x14ac:dyDescent="0.15">
      <c r="A4224" s="11">
        <v>582</v>
      </c>
      <c r="B4224" s="11" t="s">
        <v>28</v>
      </c>
      <c r="C4224" s="11" t="s">
        <v>144</v>
      </c>
      <c r="D4224" s="11">
        <v>1</v>
      </c>
      <c r="E4224" s="11" t="s">
        <v>4</v>
      </c>
      <c r="F4224" s="12">
        <v>369500</v>
      </c>
      <c r="G4224" s="12">
        <v>369500</v>
      </c>
      <c r="H4224" s="11" t="str">
        <f t="shared" si="136"/>
        <v>平成6年9月22日</v>
      </c>
      <c r="I4224" s="22">
        <f t="shared" si="135"/>
        <v>34599</v>
      </c>
      <c r="J4224" s="1" t="str">
        <f>"00737535"</f>
        <v>00737535</v>
      </c>
      <c r="K4224" s="1" t="str">
        <f>"８１３　　　　　　　　　　　　　　　　　"</f>
        <v>８１３　　　　　　　　　　　　　　　　　</v>
      </c>
      <c r="L4224" s="1"/>
    </row>
    <row r="4225" spans="1:12" ht="18" customHeight="1" x14ac:dyDescent="0.15">
      <c r="A4225" s="11">
        <v>583</v>
      </c>
      <c r="B4225" s="11" t="s">
        <v>28</v>
      </c>
      <c r="C4225" s="11" t="s">
        <v>144</v>
      </c>
      <c r="D4225" s="11">
        <v>1</v>
      </c>
      <c r="E4225" s="11" t="s">
        <v>4</v>
      </c>
      <c r="F4225" s="12">
        <v>369500</v>
      </c>
      <c r="G4225" s="12">
        <v>369500</v>
      </c>
      <c r="H4225" s="11" t="str">
        <f t="shared" si="136"/>
        <v>平成6年9月22日</v>
      </c>
      <c r="I4225" s="22">
        <f t="shared" si="135"/>
        <v>34599</v>
      </c>
      <c r="J4225" s="1" t="str">
        <f>"00737537"</f>
        <v>00737537</v>
      </c>
      <c r="K4225" s="1" t="str">
        <f>"８１４　　　　　　　　　　　　　　　　　"</f>
        <v>８１４　　　　　　　　　　　　　　　　　</v>
      </c>
      <c r="L4225" s="1"/>
    </row>
    <row r="4226" spans="1:12" ht="18" customHeight="1" x14ac:dyDescent="0.15">
      <c r="A4226" s="11">
        <v>584</v>
      </c>
      <c r="B4226" s="11" t="s">
        <v>28</v>
      </c>
      <c r="C4226" s="11" t="s">
        <v>144</v>
      </c>
      <c r="D4226" s="11">
        <v>1</v>
      </c>
      <c r="E4226" s="11" t="s">
        <v>4</v>
      </c>
      <c r="F4226" s="12">
        <v>369500</v>
      </c>
      <c r="G4226" s="12">
        <v>369500</v>
      </c>
      <c r="H4226" s="11" t="str">
        <f t="shared" si="136"/>
        <v>平成6年9月22日</v>
      </c>
      <c r="I4226" s="22">
        <f t="shared" si="135"/>
        <v>34599</v>
      </c>
      <c r="J4226" s="1" t="str">
        <f>"00737539"</f>
        <v>00737539</v>
      </c>
      <c r="K4226" s="1" t="str">
        <f>"８１５　　　　　　　　　　　　　　　　　"</f>
        <v>８１５　　　　　　　　　　　　　　　　　</v>
      </c>
      <c r="L4226" s="1"/>
    </row>
    <row r="4227" spans="1:12" ht="18" customHeight="1" x14ac:dyDescent="0.15">
      <c r="A4227" s="11">
        <v>585</v>
      </c>
      <c r="B4227" s="11" t="s">
        <v>28</v>
      </c>
      <c r="C4227" s="11" t="s">
        <v>144</v>
      </c>
      <c r="D4227" s="11">
        <v>1</v>
      </c>
      <c r="E4227" s="11" t="s">
        <v>4</v>
      </c>
      <c r="F4227" s="12">
        <v>369500</v>
      </c>
      <c r="G4227" s="12">
        <v>369500</v>
      </c>
      <c r="H4227" s="11" t="str">
        <f t="shared" si="136"/>
        <v>平成6年9月22日</v>
      </c>
      <c r="I4227" s="22">
        <f t="shared" si="135"/>
        <v>34599</v>
      </c>
      <c r="J4227" s="1" t="str">
        <f>"00737541"</f>
        <v>00737541</v>
      </c>
      <c r="K4227" s="1" t="str">
        <f>"８１６　　　　　　　　　　　　　　　　　"</f>
        <v>８１６　　　　　　　　　　　　　　　　　</v>
      </c>
      <c r="L4227" s="1"/>
    </row>
    <row r="4228" spans="1:12" ht="18" customHeight="1" x14ac:dyDescent="0.15">
      <c r="A4228" s="11">
        <v>586</v>
      </c>
      <c r="B4228" s="11" t="s">
        <v>28</v>
      </c>
      <c r="C4228" s="11" t="s">
        <v>144</v>
      </c>
      <c r="D4228" s="11">
        <v>1</v>
      </c>
      <c r="E4228" s="11" t="s">
        <v>4</v>
      </c>
      <c r="F4228" s="12">
        <v>369500</v>
      </c>
      <c r="G4228" s="12">
        <v>369500</v>
      </c>
      <c r="H4228" s="11" t="str">
        <f t="shared" si="136"/>
        <v>平成6年9月22日</v>
      </c>
      <c r="I4228" s="22">
        <f t="shared" si="135"/>
        <v>34599</v>
      </c>
      <c r="J4228" s="1" t="str">
        <f>"00737543"</f>
        <v>00737543</v>
      </c>
      <c r="K4228" s="1" t="str">
        <f>"８１７　　　　　　　　　　　　　　　　　"</f>
        <v>８１７　　　　　　　　　　　　　　　　　</v>
      </c>
      <c r="L4228" s="1"/>
    </row>
    <row r="4229" spans="1:12" ht="18" customHeight="1" x14ac:dyDescent="0.15">
      <c r="A4229" s="11">
        <v>587</v>
      </c>
      <c r="B4229" s="11" t="s">
        <v>28</v>
      </c>
      <c r="C4229" s="11" t="s">
        <v>144</v>
      </c>
      <c r="D4229" s="11">
        <v>1</v>
      </c>
      <c r="E4229" s="11" t="s">
        <v>4</v>
      </c>
      <c r="F4229" s="12">
        <v>369500</v>
      </c>
      <c r="G4229" s="12">
        <v>369500</v>
      </c>
      <c r="H4229" s="11" t="str">
        <f t="shared" si="136"/>
        <v>平成6年9月22日</v>
      </c>
      <c r="I4229" s="22">
        <f t="shared" si="135"/>
        <v>34599</v>
      </c>
      <c r="J4229" s="1" t="str">
        <f>"00737545"</f>
        <v>00737545</v>
      </c>
      <c r="K4229" s="1" t="str">
        <f>"８１８　　　　　　　　　　　　　　　　　"</f>
        <v>８１８　　　　　　　　　　　　　　　　　</v>
      </c>
      <c r="L4229" s="1"/>
    </row>
    <row r="4230" spans="1:12" ht="18" customHeight="1" x14ac:dyDescent="0.15">
      <c r="A4230" s="11">
        <v>588</v>
      </c>
      <c r="B4230" s="11" t="s">
        <v>28</v>
      </c>
      <c r="C4230" s="11" t="s">
        <v>144</v>
      </c>
      <c r="D4230" s="11">
        <v>1</v>
      </c>
      <c r="E4230" s="11" t="s">
        <v>4</v>
      </c>
      <c r="F4230" s="12">
        <v>369500</v>
      </c>
      <c r="G4230" s="12">
        <v>369500</v>
      </c>
      <c r="H4230" s="11" t="str">
        <f t="shared" si="136"/>
        <v>平成6年9月22日</v>
      </c>
      <c r="I4230" s="22">
        <f t="shared" si="135"/>
        <v>34599</v>
      </c>
      <c r="J4230" s="1" t="str">
        <f>"00737547"</f>
        <v>00737547</v>
      </c>
      <c r="K4230" s="1" t="str">
        <f>"８１９　　　　　　　　　　　　　　　　　"</f>
        <v>８１９　　　　　　　　　　　　　　　　　</v>
      </c>
      <c r="L4230" s="1"/>
    </row>
    <row r="4231" spans="1:12" ht="18" customHeight="1" x14ac:dyDescent="0.15">
      <c r="A4231" s="11">
        <v>589</v>
      </c>
      <c r="B4231" s="11" t="s">
        <v>28</v>
      </c>
      <c r="C4231" s="11" t="s">
        <v>144</v>
      </c>
      <c r="D4231" s="11">
        <v>1</v>
      </c>
      <c r="E4231" s="11" t="s">
        <v>4</v>
      </c>
      <c r="F4231" s="12">
        <v>369500</v>
      </c>
      <c r="G4231" s="12">
        <v>369500</v>
      </c>
      <c r="H4231" s="11" t="str">
        <f t="shared" si="136"/>
        <v>平成6年9月22日</v>
      </c>
      <c r="I4231" s="22">
        <f t="shared" si="135"/>
        <v>34599</v>
      </c>
      <c r="J4231" s="1" t="str">
        <f>"00737549"</f>
        <v>00737549</v>
      </c>
      <c r="K4231" s="1" t="str">
        <f>"８２０　　　　　　　　　　　　　　　　　"</f>
        <v>８２０　　　　　　　　　　　　　　　　　</v>
      </c>
      <c r="L4231" s="1"/>
    </row>
    <row r="4232" spans="1:12" ht="18" customHeight="1" x14ac:dyDescent="0.15">
      <c r="A4232" s="11">
        <v>590</v>
      </c>
      <c r="B4232" s="11" t="s">
        <v>28</v>
      </c>
      <c r="C4232" s="11" t="s">
        <v>144</v>
      </c>
      <c r="D4232" s="11">
        <v>1</v>
      </c>
      <c r="E4232" s="11" t="s">
        <v>4</v>
      </c>
      <c r="F4232" s="12">
        <v>369500</v>
      </c>
      <c r="G4232" s="12">
        <v>369500</v>
      </c>
      <c r="H4232" s="11" t="str">
        <f t="shared" si="136"/>
        <v>平成6年9月22日</v>
      </c>
      <c r="I4232" s="22">
        <f t="shared" si="135"/>
        <v>34599</v>
      </c>
      <c r="J4232" s="1" t="str">
        <f>"00737551"</f>
        <v>00737551</v>
      </c>
      <c r="K4232" s="1" t="str">
        <f>"８２１　　　　　　　　　　　　　　　　　"</f>
        <v>８２１　　　　　　　　　　　　　　　　　</v>
      </c>
      <c r="L4232" s="1"/>
    </row>
    <row r="4233" spans="1:12" ht="18" customHeight="1" x14ac:dyDescent="0.15">
      <c r="A4233" s="11">
        <v>591</v>
      </c>
      <c r="B4233" s="11" t="s">
        <v>28</v>
      </c>
      <c r="C4233" s="11" t="s">
        <v>144</v>
      </c>
      <c r="D4233" s="11">
        <v>1</v>
      </c>
      <c r="E4233" s="11" t="s">
        <v>4</v>
      </c>
      <c r="F4233" s="12">
        <v>369500</v>
      </c>
      <c r="G4233" s="12">
        <v>369500</v>
      </c>
      <c r="H4233" s="11" t="str">
        <f t="shared" si="136"/>
        <v>平成6年9月22日</v>
      </c>
      <c r="I4233" s="22">
        <f t="shared" si="135"/>
        <v>34599</v>
      </c>
      <c r="J4233" s="1" t="str">
        <f>"00737553"</f>
        <v>00737553</v>
      </c>
      <c r="K4233" s="1" t="str">
        <f>"８２２　　　　　　　　　　　　　　　　　"</f>
        <v>８２２　　　　　　　　　　　　　　　　　</v>
      </c>
      <c r="L4233" s="1"/>
    </row>
    <row r="4234" spans="1:12" ht="18" customHeight="1" x14ac:dyDescent="0.15">
      <c r="A4234" s="11">
        <v>592</v>
      </c>
      <c r="B4234" s="11" t="s">
        <v>28</v>
      </c>
      <c r="C4234" s="11" t="s">
        <v>144</v>
      </c>
      <c r="D4234" s="11">
        <v>1</v>
      </c>
      <c r="E4234" s="11" t="s">
        <v>4</v>
      </c>
      <c r="F4234" s="12">
        <v>369500</v>
      </c>
      <c r="G4234" s="12">
        <v>369500</v>
      </c>
      <c r="H4234" s="11" t="str">
        <f t="shared" si="136"/>
        <v>平成6年9月22日</v>
      </c>
      <c r="I4234" s="22">
        <f t="shared" si="135"/>
        <v>34599</v>
      </c>
      <c r="J4234" s="1" t="str">
        <f>"00737555"</f>
        <v>00737555</v>
      </c>
      <c r="K4234" s="1" t="str">
        <f>"８２３　　　　　　　　　　　　　　　　　"</f>
        <v>８２３　　　　　　　　　　　　　　　　　</v>
      </c>
      <c r="L4234" s="1"/>
    </row>
    <row r="4235" spans="1:12" ht="18" customHeight="1" x14ac:dyDescent="0.15">
      <c r="A4235" s="11">
        <v>593</v>
      </c>
      <c r="B4235" s="11" t="s">
        <v>28</v>
      </c>
      <c r="C4235" s="11" t="s">
        <v>144</v>
      </c>
      <c r="D4235" s="11">
        <v>1</v>
      </c>
      <c r="E4235" s="11" t="s">
        <v>4</v>
      </c>
      <c r="F4235" s="12">
        <v>369500</v>
      </c>
      <c r="G4235" s="12">
        <v>369500</v>
      </c>
      <c r="H4235" s="11" t="str">
        <f t="shared" si="136"/>
        <v>平成6年9月22日</v>
      </c>
      <c r="I4235" s="22">
        <f t="shared" si="135"/>
        <v>34599</v>
      </c>
      <c r="J4235" s="1" t="str">
        <f>"00737557"</f>
        <v>00737557</v>
      </c>
      <c r="K4235" s="1" t="str">
        <f>"８２４　　　　　　　　　　　　　　　　　"</f>
        <v>８２４　　　　　　　　　　　　　　　　　</v>
      </c>
      <c r="L4235" s="1"/>
    </row>
    <row r="4236" spans="1:12" ht="18" customHeight="1" x14ac:dyDescent="0.15">
      <c r="A4236" s="11">
        <v>594</v>
      </c>
      <c r="B4236" s="11" t="s">
        <v>28</v>
      </c>
      <c r="C4236" s="11" t="s">
        <v>144</v>
      </c>
      <c r="D4236" s="11">
        <v>1</v>
      </c>
      <c r="E4236" s="11" t="s">
        <v>4</v>
      </c>
      <c r="F4236" s="12">
        <v>369500</v>
      </c>
      <c r="G4236" s="12">
        <v>369500</v>
      </c>
      <c r="H4236" s="11" t="str">
        <f t="shared" si="136"/>
        <v>平成6年9月22日</v>
      </c>
      <c r="I4236" s="22">
        <f t="shared" si="135"/>
        <v>34599</v>
      </c>
      <c r="J4236" s="1" t="str">
        <f>"00737559"</f>
        <v>00737559</v>
      </c>
      <c r="K4236" s="1" t="str">
        <f>"８２５　　　　　　　　　　　　　　　　　"</f>
        <v>８２５　　　　　　　　　　　　　　　　　</v>
      </c>
      <c r="L4236" s="1"/>
    </row>
    <row r="4237" spans="1:12" ht="18" customHeight="1" x14ac:dyDescent="0.15">
      <c r="A4237" s="11">
        <v>595</v>
      </c>
      <c r="B4237" s="11" t="s">
        <v>28</v>
      </c>
      <c r="C4237" s="11" t="s">
        <v>144</v>
      </c>
      <c r="D4237" s="11">
        <v>1</v>
      </c>
      <c r="E4237" s="11" t="s">
        <v>4</v>
      </c>
      <c r="F4237" s="12">
        <v>369500</v>
      </c>
      <c r="G4237" s="12">
        <v>369500</v>
      </c>
      <c r="H4237" s="11" t="str">
        <f t="shared" si="136"/>
        <v>平成6年9月22日</v>
      </c>
      <c r="I4237" s="22">
        <f t="shared" si="135"/>
        <v>34599</v>
      </c>
      <c r="J4237" s="1" t="str">
        <f>"00737561"</f>
        <v>00737561</v>
      </c>
      <c r="K4237" s="1" t="str">
        <f>"８２６　　　　　　　　　　　　　　　　　"</f>
        <v>８２６　　　　　　　　　　　　　　　　　</v>
      </c>
      <c r="L4237" s="1"/>
    </row>
    <row r="4238" spans="1:12" ht="18" customHeight="1" x14ac:dyDescent="0.15">
      <c r="A4238" s="11">
        <v>596</v>
      </c>
      <c r="B4238" s="11" t="s">
        <v>28</v>
      </c>
      <c r="C4238" s="11" t="s">
        <v>144</v>
      </c>
      <c r="D4238" s="11">
        <v>1</v>
      </c>
      <c r="E4238" s="11" t="s">
        <v>4</v>
      </c>
      <c r="F4238" s="12">
        <v>369500</v>
      </c>
      <c r="G4238" s="12">
        <v>369500</v>
      </c>
      <c r="H4238" s="11" t="str">
        <f t="shared" si="136"/>
        <v>平成6年9月22日</v>
      </c>
      <c r="I4238" s="22">
        <f t="shared" si="135"/>
        <v>34599</v>
      </c>
      <c r="J4238" s="1" t="str">
        <f>"00737563"</f>
        <v>00737563</v>
      </c>
      <c r="K4238" s="1" t="str">
        <f>"８２７　　　　　　　　　　　　　　　　　"</f>
        <v>８２７　　　　　　　　　　　　　　　　　</v>
      </c>
      <c r="L4238" s="1"/>
    </row>
    <row r="4239" spans="1:12" ht="18" customHeight="1" x14ac:dyDescent="0.15">
      <c r="A4239" s="11">
        <v>597</v>
      </c>
      <c r="B4239" s="11" t="s">
        <v>28</v>
      </c>
      <c r="C4239" s="11" t="s">
        <v>144</v>
      </c>
      <c r="D4239" s="11">
        <v>1</v>
      </c>
      <c r="E4239" s="11" t="s">
        <v>4</v>
      </c>
      <c r="F4239" s="12">
        <v>369500</v>
      </c>
      <c r="G4239" s="12">
        <v>369500</v>
      </c>
      <c r="H4239" s="11" t="str">
        <f t="shared" si="136"/>
        <v>平成6年9月22日</v>
      </c>
      <c r="I4239" s="22">
        <f t="shared" si="135"/>
        <v>34599</v>
      </c>
      <c r="J4239" s="1" t="str">
        <f>"00737565"</f>
        <v>00737565</v>
      </c>
      <c r="K4239" s="1" t="str">
        <f>"８２８　　　　　　　　　　　　　　　　　"</f>
        <v>８２８　　　　　　　　　　　　　　　　　</v>
      </c>
      <c r="L4239" s="1"/>
    </row>
    <row r="4240" spans="1:12" ht="18" customHeight="1" x14ac:dyDescent="0.15">
      <c r="A4240" s="11">
        <v>598</v>
      </c>
      <c r="B4240" s="11" t="s">
        <v>28</v>
      </c>
      <c r="C4240" s="11" t="s">
        <v>144</v>
      </c>
      <c r="D4240" s="11">
        <v>1</v>
      </c>
      <c r="E4240" s="11" t="s">
        <v>4</v>
      </c>
      <c r="F4240" s="12">
        <v>369500</v>
      </c>
      <c r="G4240" s="12">
        <v>369500</v>
      </c>
      <c r="H4240" s="11" t="str">
        <f t="shared" si="136"/>
        <v>平成6年9月22日</v>
      </c>
      <c r="I4240" s="22">
        <f t="shared" si="135"/>
        <v>34599</v>
      </c>
      <c r="J4240" s="1" t="str">
        <f>"00737567"</f>
        <v>00737567</v>
      </c>
      <c r="K4240" s="1" t="str">
        <f>"８２９　　　　　　　　　　　　　　　　　"</f>
        <v>８２９　　　　　　　　　　　　　　　　　</v>
      </c>
      <c r="L4240" s="1"/>
    </row>
    <row r="4241" spans="1:12" ht="18" customHeight="1" x14ac:dyDescent="0.15">
      <c r="A4241" s="11">
        <v>599</v>
      </c>
      <c r="B4241" s="11" t="s">
        <v>28</v>
      </c>
      <c r="C4241" s="11" t="s">
        <v>144</v>
      </c>
      <c r="D4241" s="11">
        <v>1</v>
      </c>
      <c r="E4241" s="11" t="s">
        <v>4</v>
      </c>
      <c r="F4241" s="12">
        <v>369500</v>
      </c>
      <c r="G4241" s="12">
        <v>369500</v>
      </c>
      <c r="H4241" s="11" t="str">
        <f t="shared" si="136"/>
        <v>平成6年9月22日</v>
      </c>
      <c r="I4241" s="22">
        <f t="shared" si="135"/>
        <v>34599</v>
      </c>
      <c r="J4241" s="1" t="str">
        <f>"00737569"</f>
        <v>00737569</v>
      </c>
      <c r="K4241" s="1" t="str">
        <f>"８３０　　　　　　　　　　　　　　　　　"</f>
        <v>８３０　　　　　　　　　　　　　　　　　</v>
      </c>
      <c r="L4241" s="1"/>
    </row>
    <row r="4242" spans="1:12" ht="18" customHeight="1" x14ac:dyDescent="0.15">
      <c r="A4242" s="11">
        <v>600</v>
      </c>
      <c r="B4242" s="11" t="s">
        <v>28</v>
      </c>
      <c r="C4242" s="11" t="s">
        <v>144</v>
      </c>
      <c r="D4242" s="11">
        <v>1</v>
      </c>
      <c r="E4242" s="11" t="s">
        <v>4</v>
      </c>
      <c r="F4242" s="12">
        <v>369500</v>
      </c>
      <c r="G4242" s="12">
        <v>369500</v>
      </c>
      <c r="H4242" s="11" t="str">
        <f t="shared" si="136"/>
        <v>平成6年9月22日</v>
      </c>
      <c r="I4242" s="22">
        <f t="shared" ref="I4242:I4305" si="137">DATEVALUE(H4242)</f>
        <v>34599</v>
      </c>
      <c r="J4242" s="1" t="str">
        <f>"00737571"</f>
        <v>00737571</v>
      </c>
      <c r="K4242" s="1" t="str">
        <f>"８３１　　　　　　　　　　　　　　　　　"</f>
        <v>８３１　　　　　　　　　　　　　　　　　</v>
      </c>
      <c r="L4242" s="1"/>
    </row>
    <row r="4243" spans="1:12" ht="18" customHeight="1" x14ac:dyDescent="0.15">
      <c r="A4243" s="11">
        <v>601</v>
      </c>
      <c r="B4243" s="11" t="s">
        <v>28</v>
      </c>
      <c r="C4243" s="11" t="s">
        <v>144</v>
      </c>
      <c r="D4243" s="11">
        <v>1</v>
      </c>
      <c r="E4243" s="11" t="s">
        <v>4</v>
      </c>
      <c r="F4243" s="12">
        <v>369500</v>
      </c>
      <c r="G4243" s="12">
        <v>369500</v>
      </c>
      <c r="H4243" s="11" t="str">
        <f t="shared" si="136"/>
        <v>平成6年9月22日</v>
      </c>
      <c r="I4243" s="22">
        <f t="shared" si="137"/>
        <v>34599</v>
      </c>
      <c r="J4243" s="1" t="str">
        <f>"00737573"</f>
        <v>00737573</v>
      </c>
      <c r="K4243" s="1" t="str">
        <f>"８３２　　　　　　　　　　　　　　　　　"</f>
        <v>８３２　　　　　　　　　　　　　　　　　</v>
      </c>
      <c r="L4243" s="1"/>
    </row>
    <row r="4244" spans="1:12" ht="18" customHeight="1" x14ac:dyDescent="0.15">
      <c r="A4244" s="11">
        <v>602</v>
      </c>
      <c r="B4244" s="11" t="s">
        <v>28</v>
      </c>
      <c r="C4244" s="11" t="s">
        <v>144</v>
      </c>
      <c r="D4244" s="11">
        <v>1</v>
      </c>
      <c r="E4244" s="11" t="s">
        <v>4</v>
      </c>
      <c r="F4244" s="12">
        <v>369500</v>
      </c>
      <c r="G4244" s="12">
        <v>369500</v>
      </c>
      <c r="H4244" s="11" t="str">
        <f t="shared" si="136"/>
        <v>平成6年9月22日</v>
      </c>
      <c r="I4244" s="22">
        <f t="shared" si="137"/>
        <v>34599</v>
      </c>
      <c r="J4244" s="1" t="str">
        <f>"00737575"</f>
        <v>00737575</v>
      </c>
      <c r="K4244" s="1" t="str">
        <f>"８３３　　　　　　　　　　　　　　　　　"</f>
        <v>８３３　　　　　　　　　　　　　　　　　</v>
      </c>
      <c r="L4244" s="1"/>
    </row>
    <row r="4245" spans="1:12" ht="18" customHeight="1" x14ac:dyDescent="0.15">
      <c r="A4245" s="11">
        <v>603</v>
      </c>
      <c r="B4245" s="11" t="s">
        <v>28</v>
      </c>
      <c r="C4245" s="11" t="s">
        <v>144</v>
      </c>
      <c r="D4245" s="11">
        <v>1</v>
      </c>
      <c r="E4245" s="11" t="s">
        <v>4</v>
      </c>
      <c r="F4245" s="12">
        <v>369500</v>
      </c>
      <c r="G4245" s="12">
        <v>369500</v>
      </c>
      <c r="H4245" s="11" t="str">
        <f t="shared" si="136"/>
        <v>平成6年9月22日</v>
      </c>
      <c r="I4245" s="22">
        <f t="shared" si="137"/>
        <v>34599</v>
      </c>
      <c r="J4245" s="1" t="str">
        <f>"00737577"</f>
        <v>00737577</v>
      </c>
      <c r="K4245" s="1" t="str">
        <f>"８３４　　　　　　　　　　　　　　　　　"</f>
        <v>８３４　　　　　　　　　　　　　　　　　</v>
      </c>
      <c r="L4245" s="1"/>
    </row>
    <row r="4246" spans="1:12" ht="18" customHeight="1" x14ac:dyDescent="0.15">
      <c r="A4246" s="11">
        <v>604</v>
      </c>
      <c r="B4246" s="11" t="s">
        <v>28</v>
      </c>
      <c r="C4246" s="11" t="s">
        <v>144</v>
      </c>
      <c r="D4246" s="11">
        <v>1</v>
      </c>
      <c r="E4246" s="11" t="s">
        <v>4</v>
      </c>
      <c r="F4246" s="12">
        <v>369500</v>
      </c>
      <c r="G4246" s="12">
        <v>369500</v>
      </c>
      <c r="H4246" s="11" t="str">
        <f t="shared" si="136"/>
        <v>平成6年9月22日</v>
      </c>
      <c r="I4246" s="22">
        <f t="shared" si="137"/>
        <v>34599</v>
      </c>
      <c r="J4246" s="1" t="str">
        <f>"00737579"</f>
        <v>00737579</v>
      </c>
      <c r="K4246" s="1" t="str">
        <f>"８３５　　　　　　　　　　　　　　　　　"</f>
        <v>８３５　　　　　　　　　　　　　　　　　</v>
      </c>
      <c r="L4246" s="1"/>
    </row>
    <row r="4247" spans="1:12" ht="18" customHeight="1" x14ac:dyDescent="0.15">
      <c r="A4247" s="11">
        <v>605</v>
      </c>
      <c r="B4247" s="11" t="s">
        <v>28</v>
      </c>
      <c r="C4247" s="11" t="s">
        <v>144</v>
      </c>
      <c r="D4247" s="11">
        <v>1</v>
      </c>
      <c r="E4247" s="11" t="s">
        <v>4</v>
      </c>
      <c r="F4247" s="12">
        <v>369500</v>
      </c>
      <c r="G4247" s="12">
        <v>369500</v>
      </c>
      <c r="H4247" s="11" t="str">
        <f t="shared" si="136"/>
        <v>平成6年9月22日</v>
      </c>
      <c r="I4247" s="22">
        <f t="shared" si="137"/>
        <v>34599</v>
      </c>
      <c r="J4247" s="1" t="str">
        <f>"00737581"</f>
        <v>00737581</v>
      </c>
      <c r="K4247" s="1" t="str">
        <f>"８３６　　　　　　　　　　　　　　　　　"</f>
        <v>８３６　　　　　　　　　　　　　　　　　</v>
      </c>
      <c r="L4247" s="1"/>
    </row>
    <row r="4248" spans="1:12" ht="18" customHeight="1" x14ac:dyDescent="0.15">
      <c r="A4248" s="11">
        <v>606</v>
      </c>
      <c r="B4248" s="11" t="s">
        <v>28</v>
      </c>
      <c r="C4248" s="11" t="s">
        <v>144</v>
      </c>
      <c r="D4248" s="11">
        <v>1</v>
      </c>
      <c r="E4248" s="11" t="s">
        <v>4</v>
      </c>
      <c r="F4248" s="12">
        <v>369500</v>
      </c>
      <c r="G4248" s="12">
        <v>369500</v>
      </c>
      <c r="H4248" s="11" t="str">
        <f t="shared" si="136"/>
        <v>平成6年9月22日</v>
      </c>
      <c r="I4248" s="22">
        <f t="shared" si="137"/>
        <v>34599</v>
      </c>
      <c r="J4248" s="1" t="str">
        <f>"00737583"</f>
        <v>00737583</v>
      </c>
      <c r="K4248" s="1" t="str">
        <f>"８３７　　　　　　　　　　　　　　　　　"</f>
        <v>８３７　　　　　　　　　　　　　　　　　</v>
      </c>
      <c r="L4248" s="1"/>
    </row>
    <row r="4249" spans="1:12" ht="18" customHeight="1" x14ac:dyDescent="0.15">
      <c r="A4249" s="11">
        <v>607</v>
      </c>
      <c r="B4249" s="11" t="s">
        <v>28</v>
      </c>
      <c r="C4249" s="11" t="s">
        <v>144</v>
      </c>
      <c r="D4249" s="11">
        <v>1</v>
      </c>
      <c r="E4249" s="11" t="s">
        <v>4</v>
      </c>
      <c r="F4249" s="12">
        <v>369500</v>
      </c>
      <c r="G4249" s="12">
        <v>369500</v>
      </c>
      <c r="H4249" s="11" t="str">
        <f t="shared" si="136"/>
        <v>平成6年9月22日</v>
      </c>
      <c r="I4249" s="22">
        <f t="shared" si="137"/>
        <v>34599</v>
      </c>
      <c r="J4249" s="1" t="str">
        <f>"00737585"</f>
        <v>00737585</v>
      </c>
      <c r="K4249" s="1" t="str">
        <f>"８３８　　　　　　　　　　　　　　　　　"</f>
        <v>８３８　　　　　　　　　　　　　　　　　</v>
      </c>
      <c r="L4249" s="1"/>
    </row>
    <row r="4250" spans="1:12" ht="18" customHeight="1" x14ac:dyDescent="0.15">
      <c r="A4250" s="11">
        <v>608</v>
      </c>
      <c r="B4250" s="11" t="s">
        <v>28</v>
      </c>
      <c r="C4250" s="11" t="s">
        <v>144</v>
      </c>
      <c r="D4250" s="11">
        <v>1</v>
      </c>
      <c r="E4250" s="11" t="s">
        <v>4</v>
      </c>
      <c r="F4250" s="12">
        <v>369500</v>
      </c>
      <c r="G4250" s="12">
        <v>369500</v>
      </c>
      <c r="H4250" s="11" t="str">
        <f t="shared" si="136"/>
        <v>平成6年9月22日</v>
      </c>
      <c r="I4250" s="22">
        <f t="shared" si="137"/>
        <v>34599</v>
      </c>
      <c r="J4250" s="1" t="str">
        <f>"00737587"</f>
        <v>00737587</v>
      </c>
      <c r="K4250" s="1" t="str">
        <f>"８３９　　　　　　　　　　　　　　　　　"</f>
        <v>８３９　　　　　　　　　　　　　　　　　</v>
      </c>
      <c r="L4250" s="1"/>
    </row>
    <row r="4251" spans="1:12" ht="18" customHeight="1" x14ac:dyDescent="0.15">
      <c r="A4251" s="11">
        <v>609</v>
      </c>
      <c r="B4251" s="11" t="s">
        <v>28</v>
      </c>
      <c r="C4251" s="11" t="s">
        <v>144</v>
      </c>
      <c r="D4251" s="11">
        <v>1</v>
      </c>
      <c r="E4251" s="11" t="s">
        <v>4</v>
      </c>
      <c r="F4251" s="12">
        <v>466000</v>
      </c>
      <c r="G4251" s="12">
        <v>466000</v>
      </c>
      <c r="H4251" s="11" t="str">
        <f t="shared" si="136"/>
        <v>平成6年9月22日</v>
      </c>
      <c r="I4251" s="22">
        <f t="shared" si="137"/>
        <v>34599</v>
      </c>
      <c r="J4251" s="1" t="str">
        <f>"00737589"</f>
        <v>00737589</v>
      </c>
      <c r="K4251" s="1" t="str">
        <f>"８４０　　　　　　　　　　　　　　　　　"</f>
        <v>８４０　　　　　　　　　　　　　　　　　</v>
      </c>
      <c r="L4251" s="1"/>
    </row>
    <row r="4252" spans="1:12" ht="18" customHeight="1" x14ac:dyDescent="0.15">
      <c r="A4252" s="11">
        <v>610</v>
      </c>
      <c r="B4252" s="11" t="s">
        <v>28</v>
      </c>
      <c r="C4252" s="11" t="s">
        <v>144</v>
      </c>
      <c r="D4252" s="11">
        <v>1</v>
      </c>
      <c r="E4252" s="11" t="s">
        <v>4</v>
      </c>
      <c r="F4252" s="12">
        <v>466000</v>
      </c>
      <c r="G4252" s="12">
        <v>466000</v>
      </c>
      <c r="H4252" s="11" t="str">
        <f t="shared" si="136"/>
        <v>平成6年9月22日</v>
      </c>
      <c r="I4252" s="22">
        <f t="shared" si="137"/>
        <v>34599</v>
      </c>
      <c r="J4252" s="1" t="str">
        <f>"00737591"</f>
        <v>00737591</v>
      </c>
      <c r="K4252" s="1" t="str">
        <f>"８４１　　　　　　　　　　　　　　　　　"</f>
        <v>８４１　　　　　　　　　　　　　　　　　</v>
      </c>
      <c r="L4252" s="1"/>
    </row>
    <row r="4253" spans="1:12" ht="18" customHeight="1" x14ac:dyDescent="0.15">
      <c r="A4253" s="11">
        <v>611</v>
      </c>
      <c r="B4253" s="11" t="s">
        <v>28</v>
      </c>
      <c r="C4253" s="11" t="s">
        <v>144</v>
      </c>
      <c r="D4253" s="11">
        <v>1</v>
      </c>
      <c r="E4253" s="11" t="s">
        <v>4</v>
      </c>
      <c r="F4253" s="12">
        <v>466000</v>
      </c>
      <c r="G4253" s="12">
        <v>466000</v>
      </c>
      <c r="H4253" s="11" t="str">
        <f t="shared" si="136"/>
        <v>平成6年9月22日</v>
      </c>
      <c r="I4253" s="22">
        <f t="shared" si="137"/>
        <v>34599</v>
      </c>
      <c r="J4253" s="1" t="str">
        <f>"00737593"</f>
        <v>00737593</v>
      </c>
      <c r="K4253" s="1" t="str">
        <f>"８４２　　　　　　　　　　　　　　　　　"</f>
        <v>８４２　　　　　　　　　　　　　　　　　</v>
      </c>
      <c r="L4253" s="1"/>
    </row>
    <row r="4254" spans="1:12" ht="18" customHeight="1" x14ac:dyDescent="0.15">
      <c r="A4254" s="11">
        <v>612</v>
      </c>
      <c r="B4254" s="11" t="s">
        <v>28</v>
      </c>
      <c r="C4254" s="11" t="s">
        <v>144</v>
      </c>
      <c r="D4254" s="11">
        <v>1</v>
      </c>
      <c r="E4254" s="11" t="s">
        <v>4</v>
      </c>
      <c r="F4254" s="12">
        <v>466000</v>
      </c>
      <c r="G4254" s="12">
        <v>466000</v>
      </c>
      <c r="H4254" s="11" t="str">
        <f t="shared" si="136"/>
        <v>平成6年9月22日</v>
      </c>
      <c r="I4254" s="22">
        <f t="shared" si="137"/>
        <v>34599</v>
      </c>
      <c r="J4254" s="1" t="str">
        <f>"00737595"</f>
        <v>00737595</v>
      </c>
      <c r="K4254" s="1" t="str">
        <f>"８４３　　　　　　　　　　　　　　　　　"</f>
        <v>８４３　　　　　　　　　　　　　　　　　</v>
      </c>
      <c r="L4254" s="1"/>
    </row>
    <row r="4255" spans="1:12" ht="18" customHeight="1" x14ac:dyDescent="0.15">
      <c r="A4255" s="11">
        <v>613</v>
      </c>
      <c r="B4255" s="11" t="s">
        <v>28</v>
      </c>
      <c r="C4255" s="11" t="s">
        <v>144</v>
      </c>
      <c r="D4255" s="11">
        <v>1</v>
      </c>
      <c r="E4255" s="11" t="s">
        <v>4</v>
      </c>
      <c r="F4255" s="12">
        <v>466000</v>
      </c>
      <c r="G4255" s="12">
        <v>466000</v>
      </c>
      <c r="H4255" s="11" t="str">
        <f t="shared" si="136"/>
        <v>平成6年9月22日</v>
      </c>
      <c r="I4255" s="22">
        <f t="shared" si="137"/>
        <v>34599</v>
      </c>
      <c r="J4255" s="1" t="str">
        <f>"00737597"</f>
        <v>00737597</v>
      </c>
      <c r="K4255" s="1" t="str">
        <f>"８４４　　　　　　　　　　　　　　　　　"</f>
        <v>８４４　　　　　　　　　　　　　　　　　</v>
      </c>
      <c r="L4255" s="1"/>
    </row>
    <row r="4256" spans="1:12" ht="18" customHeight="1" x14ac:dyDescent="0.15">
      <c r="A4256" s="11">
        <v>614</v>
      </c>
      <c r="B4256" s="11" t="s">
        <v>28</v>
      </c>
      <c r="C4256" s="11" t="s">
        <v>145</v>
      </c>
      <c r="D4256" s="11">
        <v>1</v>
      </c>
      <c r="E4256" s="11" t="s">
        <v>4</v>
      </c>
      <c r="F4256" s="12">
        <v>47510</v>
      </c>
      <c r="G4256" s="12">
        <v>47510</v>
      </c>
      <c r="H4256" s="11" t="str">
        <f t="shared" si="136"/>
        <v>平成6年9月22日</v>
      </c>
      <c r="I4256" s="22">
        <f t="shared" si="137"/>
        <v>34599</v>
      </c>
      <c r="J4256" s="1" t="str">
        <f>"00737599"</f>
        <v>00737599</v>
      </c>
      <c r="K4256" s="1" t="str">
        <f>"８４５　　　　　　　　　　　　　　　　　"</f>
        <v>８４５　　　　　　　　　　　　　　　　　</v>
      </c>
      <c r="L4256" s="1"/>
    </row>
    <row r="4257" spans="1:12" ht="18" customHeight="1" x14ac:dyDescent="0.15">
      <c r="A4257" s="11">
        <v>615</v>
      </c>
      <c r="B4257" s="11" t="s">
        <v>28</v>
      </c>
      <c r="C4257" s="11" t="s">
        <v>145</v>
      </c>
      <c r="D4257" s="11">
        <v>1</v>
      </c>
      <c r="E4257" s="11" t="s">
        <v>4</v>
      </c>
      <c r="F4257" s="12">
        <v>47510</v>
      </c>
      <c r="G4257" s="12">
        <v>47510</v>
      </c>
      <c r="H4257" s="11" t="str">
        <f t="shared" ref="H4257:H4320" si="138">"平成6年9月22日"</f>
        <v>平成6年9月22日</v>
      </c>
      <c r="I4257" s="22">
        <f t="shared" si="137"/>
        <v>34599</v>
      </c>
      <c r="J4257" s="1" t="str">
        <f>"00737601"</f>
        <v>00737601</v>
      </c>
      <c r="K4257" s="1" t="str">
        <f>"８４６　　　　　　　　　　　　　　　　　"</f>
        <v>８４６　　　　　　　　　　　　　　　　　</v>
      </c>
      <c r="L4257" s="1"/>
    </row>
    <row r="4258" spans="1:12" ht="18" customHeight="1" x14ac:dyDescent="0.15">
      <c r="A4258" s="11">
        <v>616</v>
      </c>
      <c r="B4258" s="11" t="s">
        <v>28</v>
      </c>
      <c r="C4258" s="11" t="s">
        <v>145</v>
      </c>
      <c r="D4258" s="11">
        <v>1</v>
      </c>
      <c r="E4258" s="11" t="s">
        <v>4</v>
      </c>
      <c r="F4258" s="12">
        <v>47510</v>
      </c>
      <c r="G4258" s="12">
        <v>47510</v>
      </c>
      <c r="H4258" s="11" t="str">
        <f t="shared" si="138"/>
        <v>平成6年9月22日</v>
      </c>
      <c r="I4258" s="22">
        <f t="shared" si="137"/>
        <v>34599</v>
      </c>
      <c r="J4258" s="1" t="str">
        <f>"00737603"</f>
        <v>00737603</v>
      </c>
      <c r="K4258" s="1" t="str">
        <f>"８４７　　　　　　　　　　　　　　　　　"</f>
        <v>８４７　　　　　　　　　　　　　　　　　</v>
      </c>
      <c r="L4258" s="1"/>
    </row>
    <row r="4259" spans="1:12" ht="18" customHeight="1" x14ac:dyDescent="0.15">
      <c r="A4259" s="11">
        <v>617</v>
      </c>
      <c r="B4259" s="11" t="s">
        <v>28</v>
      </c>
      <c r="C4259" s="11" t="s">
        <v>145</v>
      </c>
      <c r="D4259" s="11">
        <v>1</v>
      </c>
      <c r="E4259" s="11" t="s">
        <v>4</v>
      </c>
      <c r="F4259" s="12">
        <v>47510</v>
      </c>
      <c r="G4259" s="12">
        <v>47510</v>
      </c>
      <c r="H4259" s="11" t="str">
        <f t="shared" si="138"/>
        <v>平成6年9月22日</v>
      </c>
      <c r="I4259" s="22">
        <f t="shared" si="137"/>
        <v>34599</v>
      </c>
      <c r="J4259" s="1" t="str">
        <f>"00737605"</f>
        <v>00737605</v>
      </c>
      <c r="K4259" s="1" t="str">
        <f>"８４８　　　　　　　　　　　　　　　　　"</f>
        <v>８４８　　　　　　　　　　　　　　　　　</v>
      </c>
      <c r="L4259" s="1"/>
    </row>
    <row r="4260" spans="1:12" ht="18" customHeight="1" x14ac:dyDescent="0.15">
      <c r="A4260" s="11">
        <v>618</v>
      </c>
      <c r="B4260" s="11" t="s">
        <v>28</v>
      </c>
      <c r="C4260" s="11" t="s">
        <v>145</v>
      </c>
      <c r="D4260" s="11">
        <v>1</v>
      </c>
      <c r="E4260" s="11" t="s">
        <v>4</v>
      </c>
      <c r="F4260" s="12">
        <v>47510</v>
      </c>
      <c r="G4260" s="12">
        <v>47510</v>
      </c>
      <c r="H4260" s="11" t="str">
        <f t="shared" si="138"/>
        <v>平成6年9月22日</v>
      </c>
      <c r="I4260" s="22">
        <f t="shared" si="137"/>
        <v>34599</v>
      </c>
      <c r="J4260" s="1" t="str">
        <f>"00737607"</f>
        <v>00737607</v>
      </c>
      <c r="K4260" s="1" t="str">
        <f>"８４９　　　　　　　　　　　　　　　　　"</f>
        <v>８４９　　　　　　　　　　　　　　　　　</v>
      </c>
      <c r="L4260" s="1"/>
    </row>
    <row r="4261" spans="1:12" ht="18" customHeight="1" x14ac:dyDescent="0.15">
      <c r="A4261" s="11">
        <v>619</v>
      </c>
      <c r="B4261" s="11" t="s">
        <v>28</v>
      </c>
      <c r="C4261" s="11" t="s">
        <v>145</v>
      </c>
      <c r="D4261" s="11">
        <v>1</v>
      </c>
      <c r="E4261" s="11" t="s">
        <v>4</v>
      </c>
      <c r="F4261" s="12">
        <v>47510</v>
      </c>
      <c r="G4261" s="12">
        <v>47510</v>
      </c>
      <c r="H4261" s="11" t="str">
        <f t="shared" si="138"/>
        <v>平成6年9月22日</v>
      </c>
      <c r="I4261" s="22">
        <f t="shared" si="137"/>
        <v>34599</v>
      </c>
      <c r="J4261" s="1" t="str">
        <f>"00737609"</f>
        <v>00737609</v>
      </c>
      <c r="K4261" s="1" t="str">
        <f>"８５０　　　　　　　　　　　　　　　　　"</f>
        <v>８５０　　　　　　　　　　　　　　　　　</v>
      </c>
      <c r="L4261" s="1"/>
    </row>
    <row r="4262" spans="1:12" ht="18" customHeight="1" x14ac:dyDescent="0.15">
      <c r="A4262" s="11">
        <v>620</v>
      </c>
      <c r="B4262" s="11" t="s">
        <v>28</v>
      </c>
      <c r="C4262" s="11" t="s">
        <v>145</v>
      </c>
      <c r="D4262" s="11">
        <v>1</v>
      </c>
      <c r="E4262" s="11" t="s">
        <v>4</v>
      </c>
      <c r="F4262" s="12">
        <v>47510</v>
      </c>
      <c r="G4262" s="12">
        <v>47510</v>
      </c>
      <c r="H4262" s="11" t="str">
        <f t="shared" si="138"/>
        <v>平成6年9月22日</v>
      </c>
      <c r="I4262" s="22">
        <f t="shared" si="137"/>
        <v>34599</v>
      </c>
      <c r="J4262" s="1" t="str">
        <f>"00737611"</f>
        <v>00737611</v>
      </c>
      <c r="K4262" s="1" t="str">
        <f>"８５１　　　　　　　　　　　　　　　　　"</f>
        <v>８５１　　　　　　　　　　　　　　　　　</v>
      </c>
      <c r="L4262" s="1"/>
    </row>
    <row r="4263" spans="1:12" ht="18" customHeight="1" x14ac:dyDescent="0.15">
      <c r="A4263" s="11">
        <v>621</v>
      </c>
      <c r="B4263" s="11" t="s">
        <v>28</v>
      </c>
      <c r="C4263" s="11" t="s">
        <v>145</v>
      </c>
      <c r="D4263" s="11">
        <v>1</v>
      </c>
      <c r="E4263" s="11" t="s">
        <v>4</v>
      </c>
      <c r="F4263" s="12">
        <v>47510</v>
      </c>
      <c r="G4263" s="12">
        <v>47510</v>
      </c>
      <c r="H4263" s="11" t="str">
        <f t="shared" si="138"/>
        <v>平成6年9月22日</v>
      </c>
      <c r="I4263" s="22">
        <f t="shared" si="137"/>
        <v>34599</v>
      </c>
      <c r="J4263" s="1" t="str">
        <f>"00737613"</f>
        <v>00737613</v>
      </c>
      <c r="K4263" s="1" t="str">
        <f>"８５２　　　　　　　　　　　　　　　　　"</f>
        <v>８５２　　　　　　　　　　　　　　　　　</v>
      </c>
      <c r="L4263" s="1"/>
    </row>
    <row r="4264" spans="1:12" ht="18" customHeight="1" x14ac:dyDescent="0.15">
      <c r="A4264" s="11">
        <v>622</v>
      </c>
      <c r="B4264" s="11" t="s">
        <v>28</v>
      </c>
      <c r="C4264" s="11" t="s">
        <v>145</v>
      </c>
      <c r="D4264" s="11">
        <v>1</v>
      </c>
      <c r="E4264" s="11" t="s">
        <v>4</v>
      </c>
      <c r="F4264" s="12">
        <v>47510</v>
      </c>
      <c r="G4264" s="12">
        <v>47510</v>
      </c>
      <c r="H4264" s="11" t="str">
        <f t="shared" si="138"/>
        <v>平成6年9月22日</v>
      </c>
      <c r="I4264" s="22">
        <f t="shared" si="137"/>
        <v>34599</v>
      </c>
      <c r="J4264" s="1" t="str">
        <f>"00737615"</f>
        <v>00737615</v>
      </c>
      <c r="K4264" s="1" t="str">
        <f>"８５３　　　　　　　　　　　　　　　　　"</f>
        <v>８５３　　　　　　　　　　　　　　　　　</v>
      </c>
      <c r="L4264" s="1"/>
    </row>
    <row r="4265" spans="1:12" ht="18" customHeight="1" x14ac:dyDescent="0.15">
      <c r="A4265" s="11">
        <v>623</v>
      </c>
      <c r="B4265" s="11" t="s">
        <v>28</v>
      </c>
      <c r="C4265" s="11" t="s">
        <v>145</v>
      </c>
      <c r="D4265" s="11">
        <v>1</v>
      </c>
      <c r="E4265" s="11" t="s">
        <v>4</v>
      </c>
      <c r="F4265" s="12">
        <v>47510</v>
      </c>
      <c r="G4265" s="12">
        <v>47510</v>
      </c>
      <c r="H4265" s="11" t="str">
        <f t="shared" si="138"/>
        <v>平成6年9月22日</v>
      </c>
      <c r="I4265" s="22">
        <f t="shared" si="137"/>
        <v>34599</v>
      </c>
      <c r="J4265" s="1" t="str">
        <f>"00737617"</f>
        <v>00737617</v>
      </c>
      <c r="K4265" s="1" t="str">
        <f>"８５４　　　　　　　　　　　　　　　　　"</f>
        <v>８５４　　　　　　　　　　　　　　　　　</v>
      </c>
      <c r="L4265" s="1"/>
    </row>
    <row r="4266" spans="1:12" ht="18" customHeight="1" x14ac:dyDescent="0.15">
      <c r="A4266" s="11">
        <v>624</v>
      </c>
      <c r="B4266" s="11" t="s">
        <v>28</v>
      </c>
      <c r="C4266" s="11" t="s">
        <v>145</v>
      </c>
      <c r="D4266" s="11">
        <v>1</v>
      </c>
      <c r="E4266" s="11" t="s">
        <v>4</v>
      </c>
      <c r="F4266" s="12">
        <v>47510</v>
      </c>
      <c r="G4266" s="12">
        <v>47510</v>
      </c>
      <c r="H4266" s="11" t="str">
        <f t="shared" si="138"/>
        <v>平成6年9月22日</v>
      </c>
      <c r="I4266" s="22">
        <f t="shared" si="137"/>
        <v>34599</v>
      </c>
      <c r="J4266" s="1" t="str">
        <f>"00737618"</f>
        <v>00737618</v>
      </c>
      <c r="K4266" s="1" t="str">
        <f>"８５５　　　　　　　　　　　　　　　　　"</f>
        <v>８５５　　　　　　　　　　　　　　　　　</v>
      </c>
      <c r="L4266" s="1"/>
    </row>
    <row r="4267" spans="1:12" ht="18" customHeight="1" x14ac:dyDescent="0.15">
      <c r="A4267" s="11">
        <v>625</v>
      </c>
      <c r="B4267" s="11" t="s">
        <v>28</v>
      </c>
      <c r="C4267" s="11" t="s">
        <v>145</v>
      </c>
      <c r="D4267" s="11">
        <v>1</v>
      </c>
      <c r="E4267" s="11" t="s">
        <v>4</v>
      </c>
      <c r="F4267" s="12">
        <v>47510</v>
      </c>
      <c r="G4267" s="12">
        <v>47510</v>
      </c>
      <c r="H4267" s="11" t="str">
        <f t="shared" si="138"/>
        <v>平成6年9月22日</v>
      </c>
      <c r="I4267" s="22">
        <f t="shared" si="137"/>
        <v>34599</v>
      </c>
      <c r="J4267" s="1" t="str">
        <f>"00737621"</f>
        <v>00737621</v>
      </c>
      <c r="K4267" s="1" t="str">
        <f>"８５６　　　　　　　　　　　　　　　　　"</f>
        <v>８５６　　　　　　　　　　　　　　　　　</v>
      </c>
      <c r="L4267" s="1"/>
    </row>
    <row r="4268" spans="1:12" ht="18" customHeight="1" x14ac:dyDescent="0.15">
      <c r="A4268" s="11">
        <v>626</v>
      </c>
      <c r="B4268" s="11" t="s">
        <v>28</v>
      </c>
      <c r="C4268" s="11" t="s">
        <v>145</v>
      </c>
      <c r="D4268" s="11">
        <v>1</v>
      </c>
      <c r="E4268" s="11" t="s">
        <v>4</v>
      </c>
      <c r="F4268" s="12">
        <v>47510</v>
      </c>
      <c r="G4268" s="12">
        <v>47510</v>
      </c>
      <c r="H4268" s="11" t="str">
        <f t="shared" si="138"/>
        <v>平成6年9月22日</v>
      </c>
      <c r="I4268" s="22">
        <f t="shared" si="137"/>
        <v>34599</v>
      </c>
      <c r="J4268" s="1" t="str">
        <f>"00737622"</f>
        <v>00737622</v>
      </c>
      <c r="K4268" s="1" t="str">
        <f>"８５７　　　　　　　　　　　　　　　　　"</f>
        <v>８５７　　　　　　　　　　　　　　　　　</v>
      </c>
      <c r="L4268" s="1"/>
    </row>
    <row r="4269" spans="1:12" ht="18" customHeight="1" x14ac:dyDescent="0.15">
      <c r="A4269" s="11">
        <v>627</v>
      </c>
      <c r="B4269" s="11" t="s">
        <v>28</v>
      </c>
      <c r="C4269" s="11" t="s">
        <v>145</v>
      </c>
      <c r="D4269" s="11">
        <v>1</v>
      </c>
      <c r="E4269" s="11" t="s">
        <v>4</v>
      </c>
      <c r="F4269" s="12">
        <v>47510</v>
      </c>
      <c r="G4269" s="12">
        <v>47510</v>
      </c>
      <c r="H4269" s="11" t="str">
        <f t="shared" si="138"/>
        <v>平成6年9月22日</v>
      </c>
      <c r="I4269" s="22">
        <f t="shared" si="137"/>
        <v>34599</v>
      </c>
      <c r="J4269" s="1" t="str">
        <f>"00737625"</f>
        <v>00737625</v>
      </c>
      <c r="K4269" s="1" t="str">
        <f>"８５８　　　　　　　　　　　　　　　　　"</f>
        <v>８５８　　　　　　　　　　　　　　　　　</v>
      </c>
      <c r="L4269" s="1"/>
    </row>
    <row r="4270" spans="1:12" ht="18" customHeight="1" x14ac:dyDescent="0.15">
      <c r="A4270" s="11">
        <v>628</v>
      </c>
      <c r="B4270" s="11" t="s">
        <v>28</v>
      </c>
      <c r="C4270" s="11" t="s">
        <v>145</v>
      </c>
      <c r="D4270" s="11">
        <v>1</v>
      </c>
      <c r="E4270" s="11" t="s">
        <v>4</v>
      </c>
      <c r="F4270" s="12">
        <v>47510</v>
      </c>
      <c r="G4270" s="12">
        <v>47510</v>
      </c>
      <c r="H4270" s="11" t="str">
        <f t="shared" si="138"/>
        <v>平成6年9月22日</v>
      </c>
      <c r="I4270" s="22">
        <f t="shared" si="137"/>
        <v>34599</v>
      </c>
      <c r="J4270" s="1" t="str">
        <f>"00737626"</f>
        <v>00737626</v>
      </c>
      <c r="K4270" s="1" t="str">
        <f>"８５９　　　　　　　　　　　　　　　　　"</f>
        <v>８５９　　　　　　　　　　　　　　　　　</v>
      </c>
      <c r="L4270" s="1"/>
    </row>
    <row r="4271" spans="1:12" ht="18" customHeight="1" x14ac:dyDescent="0.15">
      <c r="A4271" s="11">
        <v>629</v>
      </c>
      <c r="B4271" s="11" t="s">
        <v>28</v>
      </c>
      <c r="C4271" s="11" t="s">
        <v>145</v>
      </c>
      <c r="D4271" s="11">
        <v>1</v>
      </c>
      <c r="E4271" s="11" t="s">
        <v>4</v>
      </c>
      <c r="F4271" s="12">
        <v>47510</v>
      </c>
      <c r="G4271" s="12">
        <v>47510</v>
      </c>
      <c r="H4271" s="11" t="str">
        <f t="shared" si="138"/>
        <v>平成6年9月22日</v>
      </c>
      <c r="I4271" s="22">
        <f t="shared" si="137"/>
        <v>34599</v>
      </c>
      <c r="J4271" s="1" t="str">
        <f>"00737628"</f>
        <v>00737628</v>
      </c>
      <c r="K4271" s="1" t="str">
        <f>"８６０　　　　　　　　　　　　　　　　　"</f>
        <v>８６０　　　　　　　　　　　　　　　　　</v>
      </c>
      <c r="L4271" s="1"/>
    </row>
    <row r="4272" spans="1:12" ht="18" customHeight="1" x14ac:dyDescent="0.15">
      <c r="A4272" s="11">
        <v>630</v>
      </c>
      <c r="B4272" s="11" t="s">
        <v>28</v>
      </c>
      <c r="C4272" s="11" t="s">
        <v>145</v>
      </c>
      <c r="D4272" s="11">
        <v>1</v>
      </c>
      <c r="E4272" s="11" t="s">
        <v>4</v>
      </c>
      <c r="F4272" s="12">
        <v>47510</v>
      </c>
      <c r="G4272" s="12">
        <v>47510</v>
      </c>
      <c r="H4272" s="11" t="str">
        <f t="shared" si="138"/>
        <v>平成6年9月22日</v>
      </c>
      <c r="I4272" s="22">
        <f t="shared" si="137"/>
        <v>34599</v>
      </c>
      <c r="J4272" s="1" t="str">
        <f>"00737631"</f>
        <v>00737631</v>
      </c>
      <c r="K4272" s="1" t="str">
        <f>"８６１　　　　　　　　　　　　　　　　　"</f>
        <v>８６１　　　　　　　　　　　　　　　　　</v>
      </c>
      <c r="L4272" s="1"/>
    </row>
    <row r="4273" spans="1:12" ht="18" customHeight="1" x14ac:dyDescent="0.15">
      <c r="A4273" s="11">
        <v>631</v>
      </c>
      <c r="B4273" s="11" t="s">
        <v>28</v>
      </c>
      <c r="C4273" s="11" t="s">
        <v>145</v>
      </c>
      <c r="D4273" s="11">
        <v>1</v>
      </c>
      <c r="E4273" s="11" t="s">
        <v>4</v>
      </c>
      <c r="F4273" s="12">
        <v>47510</v>
      </c>
      <c r="G4273" s="12">
        <v>47510</v>
      </c>
      <c r="H4273" s="11" t="str">
        <f t="shared" si="138"/>
        <v>平成6年9月22日</v>
      </c>
      <c r="I4273" s="22">
        <f t="shared" si="137"/>
        <v>34599</v>
      </c>
      <c r="J4273" s="1" t="str">
        <f>"00737632"</f>
        <v>00737632</v>
      </c>
      <c r="K4273" s="1" t="str">
        <f>"８６２　　　　　　　　　　　　　　　　　"</f>
        <v>８６２　　　　　　　　　　　　　　　　　</v>
      </c>
      <c r="L4273" s="1"/>
    </row>
    <row r="4274" spans="1:12" ht="18" customHeight="1" x14ac:dyDescent="0.15">
      <c r="A4274" s="11">
        <v>632</v>
      </c>
      <c r="B4274" s="11" t="s">
        <v>28</v>
      </c>
      <c r="C4274" s="11" t="s">
        <v>145</v>
      </c>
      <c r="D4274" s="11">
        <v>1</v>
      </c>
      <c r="E4274" s="11" t="s">
        <v>4</v>
      </c>
      <c r="F4274" s="12">
        <v>47510</v>
      </c>
      <c r="G4274" s="12">
        <v>47510</v>
      </c>
      <c r="H4274" s="11" t="str">
        <f t="shared" si="138"/>
        <v>平成6年9月22日</v>
      </c>
      <c r="I4274" s="22">
        <f t="shared" si="137"/>
        <v>34599</v>
      </c>
      <c r="J4274" s="1" t="str">
        <f>"00737635"</f>
        <v>00737635</v>
      </c>
      <c r="K4274" s="1" t="str">
        <f>"８６３　　　　　　　　　　　　　　　　　"</f>
        <v>８６３　　　　　　　　　　　　　　　　　</v>
      </c>
      <c r="L4274" s="1"/>
    </row>
    <row r="4275" spans="1:12" ht="18" customHeight="1" x14ac:dyDescent="0.15">
      <c r="A4275" s="11">
        <v>633</v>
      </c>
      <c r="B4275" s="11" t="s">
        <v>28</v>
      </c>
      <c r="C4275" s="11" t="s">
        <v>145</v>
      </c>
      <c r="D4275" s="11">
        <v>1</v>
      </c>
      <c r="E4275" s="11" t="s">
        <v>4</v>
      </c>
      <c r="F4275" s="12">
        <v>47510</v>
      </c>
      <c r="G4275" s="12">
        <v>47510</v>
      </c>
      <c r="H4275" s="11" t="str">
        <f t="shared" si="138"/>
        <v>平成6年9月22日</v>
      </c>
      <c r="I4275" s="22">
        <f t="shared" si="137"/>
        <v>34599</v>
      </c>
      <c r="J4275" s="1" t="str">
        <f>"00737636"</f>
        <v>00737636</v>
      </c>
      <c r="K4275" s="1" t="str">
        <f>"８６４　　　　　　　　　　　　　　　　　"</f>
        <v>８６４　　　　　　　　　　　　　　　　　</v>
      </c>
      <c r="L4275" s="1"/>
    </row>
    <row r="4276" spans="1:12" ht="18" customHeight="1" x14ac:dyDescent="0.15">
      <c r="A4276" s="11">
        <v>634</v>
      </c>
      <c r="B4276" s="11" t="s">
        <v>28</v>
      </c>
      <c r="C4276" s="11" t="s">
        <v>145</v>
      </c>
      <c r="D4276" s="11">
        <v>1</v>
      </c>
      <c r="E4276" s="11" t="s">
        <v>4</v>
      </c>
      <c r="F4276" s="12">
        <v>47510</v>
      </c>
      <c r="G4276" s="12">
        <v>47510</v>
      </c>
      <c r="H4276" s="11" t="str">
        <f t="shared" si="138"/>
        <v>平成6年9月22日</v>
      </c>
      <c r="I4276" s="22">
        <f t="shared" si="137"/>
        <v>34599</v>
      </c>
      <c r="J4276" s="1" t="str">
        <f>"00737639"</f>
        <v>00737639</v>
      </c>
      <c r="K4276" s="1" t="str">
        <f>"８６５　　　　　　　　　　　　　　　　　"</f>
        <v>８６５　　　　　　　　　　　　　　　　　</v>
      </c>
      <c r="L4276" s="1"/>
    </row>
    <row r="4277" spans="1:12" ht="18" customHeight="1" x14ac:dyDescent="0.15">
      <c r="A4277" s="11">
        <v>635</v>
      </c>
      <c r="B4277" s="11" t="s">
        <v>28</v>
      </c>
      <c r="C4277" s="11" t="s">
        <v>145</v>
      </c>
      <c r="D4277" s="11">
        <v>1</v>
      </c>
      <c r="E4277" s="11" t="s">
        <v>4</v>
      </c>
      <c r="F4277" s="12">
        <v>47510</v>
      </c>
      <c r="G4277" s="12">
        <v>47510</v>
      </c>
      <c r="H4277" s="11" t="str">
        <f t="shared" si="138"/>
        <v>平成6年9月22日</v>
      </c>
      <c r="I4277" s="22">
        <f t="shared" si="137"/>
        <v>34599</v>
      </c>
      <c r="J4277" s="1" t="str">
        <f>"00737640"</f>
        <v>00737640</v>
      </c>
      <c r="K4277" s="1" t="str">
        <f>"８６６　　　　　　　　　　　　　　　　　"</f>
        <v>８６６　　　　　　　　　　　　　　　　　</v>
      </c>
      <c r="L4277" s="1"/>
    </row>
    <row r="4278" spans="1:12" ht="18" customHeight="1" x14ac:dyDescent="0.15">
      <c r="A4278" s="11">
        <v>636</v>
      </c>
      <c r="B4278" s="11" t="s">
        <v>28</v>
      </c>
      <c r="C4278" s="11" t="s">
        <v>145</v>
      </c>
      <c r="D4278" s="11">
        <v>1</v>
      </c>
      <c r="E4278" s="11" t="s">
        <v>4</v>
      </c>
      <c r="F4278" s="12">
        <v>47510</v>
      </c>
      <c r="G4278" s="12">
        <v>47510</v>
      </c>
      <c r="H4278" s="11" t="str">
        <f t="shared" si="138"/>
        <v>平成6年9月22日</v>
      </c>
      <c r="I4278" s="22">
        <f t="shared" si="137"/>
        <v>34599</v>
      </c>
      <c r="J4278" s="1" t="str">
        <f>"00737643"</f>
        <v>00737643</v>
      </c>
      <c r="K4278" s="1" t="str">
        <f>"８６７　　　　　　　　　　　　　　　　　"</f>
        <v>８６７　　　　　　　　　　　　　　　　　</v>
      </c>
      <c r="L4278" s="1"/>
    </row>
    <row r="4279" spans="1:12" ht="18" customHeight="1" x14ac:dyDescent="0.15">
      <c r="A4279" s="11">
        <v>637</v>
      </c>
      <c r="B4279" s="11" t="s">
        <v>28</v>
      </c>
      <c r="C4279" s="11" t="s">
        <v>145</v>
      </c>
      <c r="D4279" s="11">
        <v>1</v>
      </c>
      <c r="E4279" s="11" t="s">
        <v>4</v>
      </c>
      <c r="F4279" s="12">
        <v>47510</v>
      </c>
      <c r="G4279" s="12">
        <v>47510</v>
      </c>
      <c r="H4279" s="11" t="str">
        <f t="shared" si="138"/>
        <v>平成6年9月22日</v>
      </c>
      <c r="I4279" s="22">
        <f t="shared" si="137"/>
        <v>34599</v>
      </c>
      <c r="J4279" s="1" t="str">
        <f>"00737644"</f>
        <v>00737644</v>
      </c>
      <c r="K4279" s="1" t="str">
        <f>"８６８　　　　　　　　　　　　　　　　　"</f>
        <v>８６８　　　　　　　　　　　　　　　　　</v>
      </c>
      <c r="L4279" s="1"/>
    </row>
    <row r="4280" spans="1:12" ht="18" customHeight="1" x14ac:dyDescent="0.15">
      <c r="A4280" s="11">
        <v>638</v>
      </c>
      <c r="B4280" s="11" t="s">
        <v>28</v>
      </c>
      <c r="C4280" s="11" t="s">
        <v>145</v>
      </c>
      <c r="D4280" s="11">
        <v>1</v>
      </c>
      <c r="E4280" s="11" t="s">
        <v>4</v>
      </c>
      <c r="F4280" s="12">
        <v>47510</v>
      </c>
      <c r="G4280" s="12">
        <v>47510</v>
      </c>
      <c r="H4280" s="11" t="str">
        <f t="shared" si="138"/>
        <v>平成6年9月22日</v>
      </c>
      <c r="I4280" s="22">
        <f t="shared" si="137"/>
        <v>34599</v>
      </c>
      <c r="J4280" s="1" t="str">
        <f>"00737646"</f>
        <v>00737646</v>
      </c>
      <c r="K4280" s="1" t="str">
        <f>"８６９　　　　　　　　　　　　　　　　　"</f>
        <v>８６９　　　　　　　　　　　　　　　　　</v>
      </c>
      <c r="L4280" s="1"/>
    </row>
    <row r="4281" spans="1:12" ht="18" customHeight="1" x14ac:dyDescent="0.15">
      <c r="A4281" s="11">
        <v>639</v>
      </c>
      <c r="B4281" s="11" t="s">
        <v>28</v>
      </c>
      <c r="C4281" s="11" t="s">
        <v>145</v>
      </c>
      <c r="D4281" s="11">
        <v>1</v>
      </c>
      <c r="E4281" s="11" t="s">
        <v>4</v>
      </c>
      <c r="F4281" s="12">
        <v>47510</v>
      </c>
      <c r="G4281" s="12">
        <v>47510</v>
      </c>
      <c r="H4281" s="11" t="str">
        <f t="shared" si="138"/>
        <v>平成6年9月22日</v>
      </c>
      <c r="I4281" s="22">
        <f t="shared" si="137"/>
        <v>34599</v>
      </c>
      <c r="J4281" s="1" t="str">
        <f>"00737649"</f>
        <v>00737649</v>
      </c>
      <c r="K4281" s="1" t="str">
        <f>"８７０　　　　　　　　　　　　　　　　　"</f>
        <v>８７０　　　　　　　　　　　　　　　　　</v>
      </c>
      <c r="L4281" s="1"/>
    </row>
    <row r="4282" spans="1:12" ht="18" customHeight="1" x14ac:dyDescent="0.15">
      <c r="A4282" s="11">
        <v>640</v>
      </c>
      <c r="B4282" s="11" t="s">
        <v>28</v>
      </c>
      <c r="C4282" s="11" t="s">
        <v>145</v>
      </c>
      <c r="D4282" s="11">
        <v>1</v>
      </c>
      <c r="E4282" s="11" t="s">
        <v>4</v>
      </c>
      <c r="F4282" s="12">
        <v>47510</v>
      </c>
      <c r="G4282" s="12">
        <v>47510</v>
      </c>
      <c r="H4282" s="11" t="str">
        <f t="shared" si="138"/>
        <v>平成6年9月22日</v>
      </c>
      <c r="I4282" s="22">
        <f t="shared" si="137"/>
        <v>34599</v>
      </c>
      <c r="J4282" s="1" t="str">
        <f>"00737651"</f>
        <v>00737651</v>
      </c>
      <c r="K4282" s="1" t="str">
        <f>"８７１　　　　　　　　　　　　　　　　　"</f>
        <v>８７１　　　　　　　　　　　　　　　　　</v>
      </c>
      <c r="L4282" s="1"/>
    </row>
    <row r="4283" spans="1:12" ht="18" customHeight="1" x14ac:dyDescent="0.15">
      <c r="A4283" s="11">
        <v>641</v>
      </c>
      <c r="B4283" s="11" t="s">
        <v>28</v>
      </c>
      <c r="C4283" s="11" t="s">
        <v>145</v>
      </c>
      <c r="D4283" s="11">
        <v>1</v>
      </c>
      <c r="E4283" s="11" t="s">
        <v>4</v>
      </c>
      <c r="F4283" s="12">
        <v>47510</v>
      </c>
      <c r="G4283" s="12">
        <v>47510</v>
      </c>
      <c r="H4283" s="11" t="str">
        <f t="shared" si="138"/>
        <v>平成6年9月22日</v>
      </c>
      <c r="I4283" s="22">
        <f t="shared" si="137"/>
        <v>34599</v>
      </c>
      <c r="J4283" s="1" t="str">
        <f>"00737653"</f>
        <v>00737653</v>
      </c>
      <c r="K4283" s="1" t="str">
        <f>"８７２　　　　　　　　　　　　　　　　　"</f>
        <v>８７２　　　　　　　　　　　　　　　　　</v>
      </c>
      <c r="L4283" s="1"/>
    </row>
    <row r="4284" spans="1:12" ht="18" customHeight="1" x14ac:dyDescent="0.15">
      <c r="A4284" s="11">
        <v>642</v>
      </c>
      <c r="B4284" s="11" t="s">
        <v>28</v>
      </c>
      <c r="C4284" s="11" t="s">
        <v>145</v>
      </c>
      <c r="D4284" s="11">
        <v>1</v>
      </c>
      <c r="E4284" s="11" t="s">
        <v>4</v>
      </c>
      <c r="F4284" s="12">
        <v>47510</v>
      </c>
      <c r="G4284" s="12">
        <v>47510</v>
      </c>
      <c r="H4284" s="11" t="str">
        <f t="shared" si="138"/>
        <v>平成6年9月22日</v>
      </c>
      <c r="I4284" s="22">
        <f t="shared" si="137"/>
        <v>34599</v>
      </c>
      <c r="J4284" s="1" t="str">
        <f>"00737655"</f>
        <v>00737655</v>
      </c>
      <c r="K4284" s="1" t="str">
        <f>"８７３　　　　　　　　　　　　　　　　　"</f>
        <v>８７３　　　　　　　　　　　　　　　　　</v>
      </c>
      <c r="L4284" s="1"/>
    </row>
    <row r="4285" spans="1:12" ht="18" customHeight="1" x14ac:dyDescent="0.15">
      <c r="A4285" s="11">
        <v>643</v>
      </c>
      <c r="B4285" s="11" t="s">
        <v>28</v>
      </c>
      <c r="C4285" s="11" t="s">
        <v>145</v>
      </c>
      <c r="D4285" s="11">
        <v>1</v>
      </c>
      <c r="E4285" s="11" t="s">
        <v>4</v>
      </c>
      <c r="F4285" s="12">
        <v>47510</v>
      </c>
      <c r="G4285" s="12">
        <v>47510</v>
      </c>
      <c r="H4285" s="11" t="str">
        <f t="shared" si="138"/>
        <v>平成6年9月22日</v>
      </c>
      <c r="I4285" s="22">
        <f t="shared" si="137"/>
        <v>34599</v>
      </c>
      <c r="J4285" s="1" t="str">
        <f>"00737657"</f>
        <v>00737657</v>
      </c>
      <c r="K4285" s="1" t="str">
        <f>"８７４　　　　　　　　　　　　　　　　　"</f>
        <v>８７４　　　　　　　　　　　　　　　　　</v>
      </c>
      <c r="L4285" s="1"/>
    </row>
    <row r="4286" spans="1:12" ht="18" customHeight="1" x14ac:dyDescent="0.15">
      <c r="A4286" s="11">
        <v>644</v>
      </c>
      <c r="B4286" s="11" t="s">
        <v>28</v>
      </c>
      <c r="C4286" s="11" t="s">
        <v>145</v>
      </c>
      <c r="D4286" s="11">
        <v>1</v>
      </c>
      <c r="E4286" s="11" t="s">
        <v>4</v>
      </c>
      <c r="F4286" s="12">
        <v>47510</v>
      </c>
      <c r="G4286" s="12">
        <v>47510</v>
      </c>
      <c r="H4286" s="11" t="str">
        <f t="shared" si="138"/>
        <v>平成6年9月22日</v>
      </c>
      <c r="I4286" s="22">
        <f t="shared" si="137"/>
        <v>34599</v>
      </c>
      <c r="J4286" s="1" t="str">
        <f>"00737659"</f>
        <v>00737659</v>
      </c>
      <c r="K4286" s="1" t="str">
        <f>"８７５　　　　　　　　　　　　　　　　　"</f>
        <v>８７５　　　　　　　　　　　　　　　　　</v>
      </c>
      <c r="L4286" s="1"/>
    </row>
    <row r="4287" spans="1:12" ht="18" customHeight="1" x14ac:dyDescent="0.15">
      <c r="A4287" s="11">
        <v>645</v>
      </c>
      <c r="B4287" s="11" t="s">
        <v>28</v>
      </c>
      <c r="C4287" s="11" t="s">
        <v>145</v>
      </c>
      <c r="D4287" s="11">
        <v>1</v>
      </c>
      <c r="E4287" s="11" t="s">
        <v>4</v>
      </c>
      <c r="F4287" s="12">
        <v>47510</v>
      </c>
      <c r="G4287" s="12">
        <v>47510</v>
      </c>
      <c r="H4287" s="11" t="str">
        <f t="shared" si="138"/>
        <v>平成6年9月22日</v>
      </c>
      <c r="I4287" s="22">
        <f t="shared" si="137"/>
        <v>34599</v>
      </c>
      <c r="J4287" s="1" t="str">
        <f>"00737661"</f>
        <v>00737661</v>
      </c>
      <c r="K4287" s="1" t="str">
        <f>"８７６　　　　　　　　　　　　　　　　　"</f>
        <v>８７６　　　　　　　　　　　　　　　　　</v>
      </c>
      <c r="L4287" s="1"/>
    </row>
    <row r="4288" spans="1:12" ht="18" customHeight="1" x14ac:dyDescent="0.15">
      <c r="A4288" s="11">
        <v>646</v>
      </c>
      <c r="B4288" s="11" t="s">
        <v>28</v>
      </c>
      <c r="C4288" s="11" t="s">
        <v>145</v>
      </c>
      <c r="D4288" s="11">
        <v>1</v>
      </c>
      <c r="E4288" s="11" t="s">
        <v>4</v>
      </c>
      <c r="F4288" s="12">
        <v>47510</v>
      </c>
      <c r="G4288" s="12">
        <v>47510</v>
      </c>
      <c r="H4288" s="11" t="str">
        <f t="shared" si="138"/>
        <v>平成6年9月22日</v>
      </c>
      <c r="I4288" s="22">
        <f t="shared" si="137"/>
        <v>34599</v>
      </c>
      <c r="J4288" s="1" t="str">
        <f>"00737663"</f>
        <v>00737663</v>
      </c>
      <c r="K4288" s="1" t="str">
        <f>"８７７　　　　　　　　　　　　　　　　　"</f>
        <v>８７７　　　　　　　　　　　　　　　　　</v>
      </c>
      <c r="L4288" s="1"/>
    </row>
    <row r="4289" spans="1:12" ht="18" customHeight="1" x14ac:dyDescent="0.15">
      <c r="A4289" s="11">
        <v>647</v>
      </c>
      <c r="B4289" s="11" t="s">
        <v>28</v>
      </c>
      <c r="C4289" s="11" t="s">
        <v>145</v>
      </c>
      <c r="D4289" s="11">
        <v>1</v>
      </c>
      <c r="E4289" s="11" t="s">
        <v>4</v>
      </c>
      <c r="F4289" s="12">
        <v>47510</v>
      </c>
      <c r="G4289" s="12">
        <v>47510</v>
      </c>
      <c r="H4289" s="11" t="str">
        <f t="shared" si="138"/>
        <v>平成6年9月22日</v>
      </c>
      <c r="I4289" s="22">
        <f t="shared" si="137"/>
        <v>34599</v>
      </c>
      <c r="J4289" s="1" t="str">
        <f>"00737665"</f>
        <v>00737665</v>
      </c>
      <c r="K4289" s="1" t="str">
        <f>"８７８　　　　　　　　　　　　　　　　　"</f>
        <v>８７８　　　　　　　　　　　　　　　　　</v>
      </c>
      <c r="L4289" s="1"/>
    </row>
    <row r="4290" spans="1:12" ht="18" customHeight="1" x14ac:dyDescent="0.15">
      <c r="A4290" s="11">
        <v>648</v>
      </c>
      <c r="B4290" s="11" t="s">
        <v>28</v>
      </c>
      <c r="C4290" s="11" t="s">
        <v>145</v>
      </c>
      <c r="D4290" s="11">
        <v>1</v>
      </c>
      <c r="E4290" s="11" t="s">
        <v>4</v>
      </c>
      <c r="F4290" s="12">
        <v>47510</v>
      </c>
      <c r="G4290" s="12">
        <v>47510</v>
      </c>
      <c r="H4290" s="11" t="str">
        <f t="shared" si="138"/>
        <v>平成6年9月22日</v>
      </c>
      <c r="I4290" s="22">
        <f t="shared" si="137"/>
        <v>34599</v>
      </c>
      <c r="J4290" s="1" t="str">
        <f>"00737667"</f>
        <v>00737667</v>
      </c>
      <c r="K4290" s="1" t="str">
        <f>"８７９　　　　　　　　　　　　　　　　　"</f>
        <v>８７９　　　　　　　　　　　　　　　　　</v>
      </c>
      <c r="L4290" s="1"/>
    </row>
    <row r="4291" spans="1:12" ht="18" customHeight="1" x14ac:dyDescent="0.15">
      <c r="A4291" s="11">
        <v>649</v>
      </c>
      <c r="B4291" s="11" t="s">
        <v>28</v>
      </c>
      <c r="C4291" s="11" t="s">
        <v>145</v>
      </c>
      <c r="D4291" s="11">
        <v>1</v>
      </c>
      <c r="E4291" s="11" t="s">
        <v>4</v>
      </c>
      <c r="F4291" s="12">
        <v>47510</v>
      </c>
      <c r="G4291" s="12">
        <v>47510</v>
      </c>
      <c r="H4291" s="11" t="str">
        <f t="shared" si="138"/>
        <v>平成6年9月22日</v>
      </c>
      <c r="I4291" s="22">
        <f t="shared" si="137"/>
        <v>34599</v>
      </c>
      <c r="J4291" s="1" t="str">
        <f>"00737669"</f>
        <v>00737669</v>
      </c>
      <c r="K4291" s="1" t="str">
        <f>"８８０　　　　　　　　　　　　　　　　　"</f>
        <v>８８０　　　　　　　　　　　　　　　　　</v>
      </c>
      <c r="L4291" s="1"/>
    </row>
    <row r="4292" spans="1:12" ht="18" customHeight="1" x14ac:dyDescent="0.15">
      <c r="A4292" s="11">
        <v>650</v>
      </c>
      <c r="B4292" s="11" t="s">
        <v>28</v>
      </c>
      <c r="C4292" s="11" t="s">
        <v>145</v>
      </c>
      <c r="D4292" s="11">
        <v>1</v>
      </c>
      <c r="E4292" s="11" t="s">
        <v>4</v>
      </c>
      <c r="F4292" s="12">
        <v>47510</v>
      </c>
      <c r="G4292" s="12">
        <v>47510</v>
      </c>
      <c r="H4292" s="11" t="str">
        <f t="shared" si="138"/>
        <v>平成6年9月22日</v>
      </c>
      <c r="I4292" s="22">
        <f t="shared" si="137"/>
        <v>34599</v>
      </c>
      <c r="J4292" s="1" t="str">
        <f>"00737671"</f>
        <v>00737671</v>
      </c>
      <c r="K4292" s="1" t="str">
        <f>"８８１　　　　　　　　　　　　　　　　　"</f>
        <v>８８１　　　　　　　　　　　　　　　　　</v>
      </c>
      <c r="L4292" s="1"/>
    </row>
    <row r="4293" spans="1:12" ht="18" customHeight="1" x14ac:dyDescent="0.15">
      <c r="A4293" s="11">
        <v>651</v>
      </c>
      <c r="B4293" s="11" t="s">
        <v>28</v>
      </c>
      <c r="C4293" s="11" t="s">
        <v>145</v>
      </c>
      <c r="D4293" s="11">
        <v>1</v>
      </c>
      <c r="E4293" s="11" t="s">
        <v>4</v>
      </c>
      <c r="F4293" s="12">
        <v>47510</v>
      </c>
      <c r="G4293" s="12">
        <v>47510</v>
      </c>
      <c r="H4293" s="11" t="str">
        <f t="shared" si="138"/>
        <v>平成6年9月22日</v>
      </c>
      <c r="I4293" s="22">
        <f t="shared" si="137"/>
        <v>34599</v>
      </c>
      <c r="J4293" s="1" t="str">
        <f>"00737673"</f>
        <v>00737673</v>
      </c>
      <c r="K4293" s="1" t="str">
        <f>"８８２　　　　　　　　　　　　　　　　　"</f>
        <v>８８２　　　　　　　　　　　　　　　　　</v>
      </c>
      <c r="L4293" s="1"/>
    </row>
    <row r="4294" spans="1:12" ht="18" customHeight="1" x14ac:dyDescent="0.15">
      <c r="A4294" s="11">
        <v>652</v>
      </c>
      <c r="B4294" s="11" t="s">
        <v>28</v>
      </c>
      <c r="C4294" s="11" t="s">
        <v>145</v>
      </c>
      <c r="D4294" s="11">
        <v>1</v>
      </c>
      <c r="E4294" s="11" t="s">
        <v>4</v>
      </c>
      <c r="F4294" s="12">
        <v>47510</v>
      </c>
      <c r="G4294" s="12">
        <v>47510</v>
      </c>
      <c r="H4294" s="11" t="str">
        <f t="shared" si="138"/>
        <v>平成6年9月22日</v>
      </c>
      <c r="I4294" s="22">
        <f t="shared" si="137"/>
        <v>34599</v>
      </c>
      <c r="J4294" s="1" t="str">
        <f>"00737675"</f>
        <v>00737675</v>
      </c>
      <c r="K4294" s="1" t="str">
        <f>"８８３　　　　　　　　　　　　　　　　　"</f>
        <v>８８３　　　　　　　　　　　　　　　　　</v>
      </c>
      <c r="L4294" s="1"/>
    </row>
    <row r="4295" spans="1:12" ht="18" customHeight="1" x14ac:dyDescent="0.15">
      <c r="A4295" s="11">
        <v>653</v>
      </c>
      <c r="B4295" s="11" t="s">
        <v>28</v>
      </c>
      <c r="C4295" s="11" t="s">
        <v>145</v>
      </c>
      <c r="D4295" s="11">
        <v>1</v>
      </c>
      <c r="E4295" s="11" t="s">
        <v>4</v>
      </c>
      <c r="F4295" s="12">
        <v>47510</v>
      </c>
      <c r="G4295" s="12">
        <v>47510</v>
      </c>
      <c r="H4295" s="11" t="str">
        <f t="shared" si="138"/>
        <v>平成6年9月22日</v>
      </c>
      <c r="I4295" s="22">
        <f t="shared" si="137"/>
        <v>34599</v>
      </c>
      <c r="J4295" s="1" t="str">
        <f>"00737677"</f>
        <v>00737677</v>
      </c>
      <c r="K4295" s="1" t="str">
        <f>"８８４　　　　　　　　　　　　　　　　　"</f>
        <v>８８４　　　　　　　　　　　　　　　　　</v>
      </c>
      <c r="L4295" s="1"/>
    </row>
    <row r="4296" spans="1:12" ht="18" customHeight="1" x14ac:dyDescent="0.15">
      <c r="A4296" s="11">
        <v>654</v>
      </c>
      <c r="B4296" s="11" t="s">
        <v>28</v>
      </c>
      <c r="C4296" s="11" t="s">
        <v>145</v>
      </c>
      <c r="D4296" s="11">
        <v>1</v>
      </c>
      <c r="E4296" s="11" t="s">
        <v>4</v>
      </c>
      <c r="F4296" s="12">
        <v>47510</v>
      </c>
      <c r="G4296" s="12">
        <v>47510</v>
      </c>
      <c r="H4296" s="11" t="str">
        <f t="shared" si="138"/>
        <v>平成6年9月22日</v>
      </c>
      <c r="I4296" s="22">
        <f t="shared" si="137"/>
        <v>34599</v>
      </c>
      <c r="J4296" s="1" t="str">
        <f>"00737679"</f>
        <v>00737679</v>
      </c>
      <c r="K4296" s="1" t="str">
        <f>"８８５　　　　　　　　　　　　　　　　　"</f>
        <v>８８５　　　　　　　　　　　　　　　　　</v>
      </c>
      <c r="L4296" s="1"/>
    </row>
    <row r="4297" spans="1:12" ht="18" customHeight="1" x14ac:dyDescent="0.15">
      <c r="A4297" s="11">
        <v>655</v>
      </c>
      <c r="B4297" s="11" t="s">
        <v>28</v>
      </c>
      <c r="C4297" s="11" t="s">
        <v>145</v>
      </c>
      <c r="D4297" s="11">
        <v>1</v>
      </c>
      <c r="E4297" s="11" t="s">
        <v>4</v>
      </c>
      <c r="F4297" s="12">
        <v>47510</v>
      </c>
      <c r="G4297" s="12">
        <v>47510</v>
      </c>
      <c r="H4297" s="11" t="str">
        <f t="shared" si="138"/>
        <v>平成6年9月22日</v>
      </c>
      <c r="I4297" s="22">
        <f t="shared" si="137"/>
        <v>34599</v>
      </c>
      <c r="J4297" s="1" t="str">
        <f>"00737681"</f>
        <v>00737681</v>
      </c>
      <c r="K4297" s="1" t="str">
        <f>"８８６　　　　　　　　　　　　　　　　　"</f>
        <v>８８６　　　　　　　　　　　　　　　　　</v>
      </c>
      <c r="L4297" s="1"/>
    </row>
    <row r="4298" spans="1:12" ht="18" customHeight="1" x14ac:dyDescent="0.15">
      <c r="A4298" s="11">
        <v>656</v>
      </c>
      <c r="B4298" s="11" t="s">
        <v>28</v>
      </c>
      <c r="C4298" s="11" t="s">
        <v>145</v>
      </c>
      <c r="D4298" s="11">
        <v>1</v>
      </c>
      <c r="E4298" s="11" t="s">
        <v>4</v>
      </c>
      <c r="F4298" s="12">
        <v>47510</v>
      </c>
      <c r="G4298" s="12">
        <v>47510</v>
      </c>
      <c r="H4298" s="11" t="str">
        <f t="shared" si="138"/>
        <v>平成6年9月22日</v>
      </c>
      <c r="I4298" s="22">
        <f t="shared" si="137"/>
        <v>34599</v>
      </c>
      <c r="J4298" s="1" t="str">
        <f>"00737683"</f>
        <v>00737683</v>
      </c>
      <c r="K4298" s="1" t="str">
        <f>"８８７　　　　　　　　　　　　　　　　　"</f>
        <v>８８７　　　　　　　　　　　　　　　　　</v>
      </c>
      <c r="L4298" s="1"/>
    </row>
    <row r="4299" spans="1:12" ht="18" customHeight="1" x14ac:dyDescent="0.15">
      <c r="A4299" s="11">
        <v>657</v>
      </c>
      <c r="B4299" s="11" t="s">
        <v>28</v>
      </c>
      <c r="C4299" s="11" t="s">
        <v>145</v>
      </c>
      <c r="D4299" s="11">
        <v>1</v>
      </c>
      <c r="E4299" s="11" t="s">
        <v>4</v>
      </c>
      <c r="F4299" s="12">
        <v>47510</v>
      </c>
      <c r="G4299" s="12">
        <v>47510</v>
      </c>
      <c r="H4299" s="11" t="str">
        <f t="shared" si="138"/>
        <v>平成6年9月22日</v>
      </c>
      <c r="I4299" s="22">
        <f t="shared" si="137"/>
        <v>34599</v>
      </c>
      <c r="J4299" s="1" t="str">
        <f>"00737685"</f>
        <v>00737685</v>
      </c>
      <c r="K4299" s="1" t="str">
        <f>"８８８　　　　　　　　　　　　　　　　　"</f>
        <v>８８８　　　　　　　　　　　　　　　　　</v>
      </c>
      <c r="L4299" s="1"/>
    </row>
    <row r="4300" spans="1:12" ht="18" customHeight="1" x14ac:dyDescent="0.15">
      <c r="A4300" s="11">
        <v>658</v>
      </c>
      <c r="B4300" s="11" t="s">
        <v>28</v>
      </c>
      <c r="C4300" s="11" t="s">
        <v>145</v>
      </c>
      <c r="D4300" s="11">
        <v>1</v>
      </c>
      <c r="E4300" s="11" t="s">
        <v>4</v>
      </c>
      <c r="F4300" s="12">
        <v>47510</v>
      </c>
      <c r="G4300" s="12">
        <v>47510</v>
      </c>
      <c r="H4300" s="11" t="str">
        <f t="shared" si="138"/>
        <v>平成6年9月22日</v>
      </c>
      <c r="I4300" s="22">
        <f t="shared" si="137"/>
        <v>34599</v>
      </c>
      <c r="J4300" s="1" t="str">
        <f>"00737687"</f>
        <v>00737687</v>
      </c>
      <c r="K4300" s="1" t="str">
        <f>"８８９　　　　　　　　　　　　　　　　　"</f>
        <v>８８９　　　　　　　　　　　　　　　　　</v>
      </c>
      <c r="L4300" s="1"/>
    </row>
    <row r="4301" spans="1:12" ht="18" customHeight="1" x14ac:dyDescent="0.15">
      <c r="A4301" s="11">
        <v>659</v>
      </c>
      <c r="B4301" s="11" t="s">
        <v>28</v>
      </c>
      <c r="C4301" s="11" t="s">
        <v>145</v>
      </c>
      <c r="D4301" s="11">
        <v>1</v>
      </c>
      <c r="E4301" s="11" t="s">
        <v>4</v>
      </c>
      <c r="F4301" s="12">
        <v>47510</v>
      </c>
      <c r="G4301" s="12">
        <v>47510</v>
      </c>
      <c r="H4301" s="11" t="str">
        <f t="shared" si="138"/>
        <v>平成6年9月22日</v>
      </c>
      <c r="I4301" s="22">
        <f t="shared" si="137"/>
        <v>34599</v>
      </c>
      <c r="J4301" s="1" t="str">
        <f>"00737689"</f>
        <v>00737689</v>
      </c>
      <c r="K4301" s="1" t="str">
        <f>"８９０　　　　　　　　　　　　　　　　　"</f>
        <v>８９０　　　　　　　　　　　　　　　　　</v>
      </c>
      <c r="L4301" s="1"/>
    </row>
    <row r="4302" spans="1:12" ht="18" customHeight="1" x14ac:dyDescent="0.15">
      <c r="A4302" s="11">
        <v>660</v>
      </c>
      <c r="B4302" s="11" t="s">
        <v>28</v>
      </c>
      <c r="C4302" s="11" t="s">
        <v>145</v>
      </c>
      <c r="D4302" s="11">
        <v>1</v>
      </c>
      <c r="E4302" s="11" t="s">
        <v>4</v>
      </c>
      <c r="F4302" s="12">
        <v>47510</v>
      </c>
      <c r="G4302" s="12">
        <v>47510</v>
      </c>
      <c r="H4302" s="11" t="str">
        <f t="shared" si="138"/>
        <v>平成6年9月22日</v>
      </c>
      <c r="I4302" s="22">
        <f t="shared" si="137"/>
        <v>34599</v>
      </c>
      <c r="J4302" s="1" t="str">
        <f>"00737691"</f>
        <v>00737691</v>
      </c>
      <c r="K4302" s="1" t="str">
        <f>"８９１　　　　　　　　　　　　　　　　　"</f>
        <v>８９１　　　　　　　　　　　　　　　　　</v>
      </c>
      <c r="L4302" s="1"/>
    </row>
    <row r="4303" spans="1:12" ht="18" customHeight="1" x14ac:dyDescent="0.15">
      <c r="A4303" s="11">
        <v>661</v>
      </c>
      <c r="B4303" s="11" t="s">
        <v>28</v>
      </c>
      <c r="C4303" s="11" t="s">
        <v>145</v>
      </c>
      <c r="D4303" s="11">
        <v>1</v>
      </c>
      <c r="E4303" s="11" t="s">
        <v>4</v>
      </c>
      <c r="F4303" s="12">
        <v>47510</v>
      </c>
      <c r="G4303" s="12">
        <v>47510</v>
      </c>
      <c r="H4303" s="11" t="str">
        <f t="shared" si="138"/>
        <v>平成6年9月22日</v>
      </c>
      <c r="I4303" s="22">
        <f t="shared" si="137"/>
        <v>34599</v>
      </c>
      <c r="J4303" s="1" t="str">
        <f>"00737693"</f>
        <v>00737693</v>
      </c>
      <c r="K4303" s="1" t="str">
        <f>"８９２　　　　　　　　　　　　　　　　　"</f>
        <v>８９２　　　　　　　　　　　　　　　　　</v>
      </c>
      <c r="L4303" s="1"/>
    </row>
    <row r="4304" spans="1:12" ht="18" customHeight="1" x14ac:dyDescent="0.15">
      <c r="A4304" s="11">
        <v>662</v>
      </c>
      <c r="B4304" s="11" t="s">
        <v>28</v>
      </c>
      <c r="C4304" s="11" t="s">
        <v>145</v>
      </c>
      <c r="D4304" s="11">
        <v>1</v>
      </c>
      <c r="E4304" s="11" t="s">
        <v>4</v>
      </c>
      <c r="F4304" s="12">
        <v>47510</v>
      </c>
      <c r="G4304" s="12">
        <v>47510</v>
      </c>
      <c r="H4304" s="11" t="str">
        <f t="shared" si="138"/>
        <v>平成6年9月22日</v>
      </c>
      <c r="I4304" s="22">
        <f t="shared" si="137"/>
        <v>34599</v>
      </c>
      <c r="J4304" s="1" t="str">
        <f>"00737694"</f>
        <v>00737694</v>
      </c>
      <c r="K4304" s="1" t="str">
        <f>"８９３　　　　　　　　　　　　　　　　　"</f>
        <v>８９３　　　　　　　　　　　　　　　　　</v>
      </c>
      <c r="L4304" s="1"/>
    </row>
    <row r="4305" spans="1:12" ht="18" customHeight="1" x14ac:dyDescent="0.15">
      <c r="A4305" s="11">
        <v>663</v>
      </c>
      <c r="B4305" s="11" t="s">
        <v>28</v>
      </c>
      <c r="C4305" s="11" t="s">
        <v>145</v>
      </c>
      <c r="D4305" s="11">
        <v>1</v>
      </c>
      <c r="E4305" s="11" t="s">
        <v>4</v>
      </c>
      <c r="F4305" s="12">
        <v>47510</v>
      </c>
      <c r="G4305" s="12">
        <v>47510</v>
      </c>
      <c r="H4305" s="11" t="str">
        <f t="shared" si="138"/>
        <v>平成6年9月22日</v>
      </c>
      <c r="I4305" s="22">
        <f t="shared" si="137"/>
        <v>34599</v>
      </c>
      <c r="J4305" s="1" t="str">
        <f>"00737697"</f>
        <v>00737697</v>
      </c>
      <c r="K4305" s="1" t="str">
        <f>"８９４　　　　　　　　　　　　　　　　　"</f>
        <v>８９４　　　　　　　　　　　　　　　　　</v>
      </c>
      <c r="L4305" s="1"/>
    </row>
    <row r="4306" spans="1:12" ht="18" customHeight="1" x14ac:dyDescent="0.15">
      <c r="A4306" s="11">
        <v>664</v>
      </c>
      <c r="B4306" s="11" t="s">
        <v>28</v>
      </c>
      <c r="C4306" s="11" t="s">
        <v>145</v>
      </c>
      <c r="D4306" s="11">
        <v>1</v>
      </c>
      <c r="E4306" s="11" t="s">
        <v>4</v>
      </c>
      <c r="F4306" s="12">
        <v>47510</v>
      </c>
      <c r="G4306" s="12">
        <v>47510</v>
      </c>
      <c r="H4306" s="11" t="str">
        <f t="shared" si="138"/>
        <v>平成6年9月22日</v>
      </c>
      <c r="I4306" s="22">
        <f t="shared" ref="I4306:I4369" si="139">DATEVALUE(H4306)</f>
        <v>34599</v>
      </c>
      <c r="J4306" s="1" t="str">
        <f>"00737699"</f>
        <v>00737699</v>
      </c>
      <c r="K4306" s="1" t="str">
        <f>"８９５　　　　　　　　　　　　　　　　　"</f>
        <v>８９５　　　　　　　　　　　　　　　　　</v>
      </c>
      <c r="L4306" s="1"/>
    </row>
    <row r="4307" spans="1:12" ht="18" customHeight="1" x14ac:dyDescent="0.15">
      <c r="A4307" s="11">
        <v>665</v>
      </c>
      <c r="B4307" s="11" t="s">
        <v>28</v>
      </c>
      <c r="C4307" s="11" t="s">
        <v>145</v>
      </c>
      <c r="D4307" s="11">
        <v>1</v>
      </c>
      <c r="E4307" s="11" t="s">
        <v>4</v>
      </c>
      <c r="F4307" s="12">
        <v>47510</v>
      </c>
      <c r="G4307" s="12">
        <v>47510</v>
      </c>
      <c r="H4307" s="11" t="str">
        <f t="shared" si="138"/>
        <v>平成6年9月22日</v>
      </c>
      <c r="I4307" s="22">
        <f t="shared" si="139"/>
        <v>34599</v>
      </c>
      <c r="J4307" s="1" t="str">
        <f>"00737701"</f>
        <v>00737701</v>
      </c>
      <c r="K4307" s="1" t="str">
        <f>"８９６　　　　　　　　　　　　　　　　　"</f>
        <v>８９６　　　　　　　　　　　　　　　　　</v>
      </c>
      <c r="L4307" s="1"/>
    </row>
    <row r="4308" spans="1:12" ht="18" customHeight="1" x14ac:dyDescent="0.15">
      <c r="A4308" s="11">
        <v>666</v>
      </c>
      <c r="B4308" s="11" t="s">
        <v>28</v>
      </c>
      <c r="C4308" s="11" t="s">
        <v>145</v>
      </c>
      <c r="D4308" s="11">
        <v>1</v>
      </c>
      <c r="E4308" s="11" t="s">
        <v>4</v>
      </c>
      <c r="F4308" s="12">
        <v>47510</v>
      </c>
      <c r="G4308" s="12">
        <v>47510</v>
      </c>
      <c r="H4308" s="11" t="str">
        <f t="shared" si="138"/>
        <v>平成6年9月22日</v>
      </c>
      <c r="I4308" s="22">
        <f t="shared" si="139"/>
        <v>34599</v>
      </c>
      <c r="J4308" s="1" t="str">
        <f>"00737703"</f>
        <v>00737703</v>
      </c>
      <c r="K4308" s="1" t="str">
        <f>"８９７　　　　　　　　　　　　　　　　　"</f>
        <v>８９７　　　　　　　　　　　　　　　　　</v>
      </c>
      <c r="L4308" s="1"/>
    </row>
    <row r="4309" spans="1:12" ht="18" customHeight="1" x14ac:dyDescent="0.15">
      <c r="A4309" s="11">
        <v>667</v>
      </c>
      <c r="B4309" s="11" t="s">
        <v>28</v>
      </c>
      <c r="C4309" s="11" t="s">
        <v>145</v>
      </c>
      <c r="D4309" s="11">
        <v>1</v>
      </c>
      <c r="E4309" s="11" t="s">
        <v>4</v>
      </c>
      <c r="F4309" s="12">
        <v>47510</v>
      </c>
      <c r="G4309" s="12">
        <v>47510</v>
      </c>
      <c r="H4309" s="11" t="str">
        <f t="shared" si="138"/>
        <v>平成6年9月22日</v>
      </c>
      <c r="I4309" s="22">
        <f t="shared" si="139"/>
        <v>34599</v>
      </c>
      <c r="J4309" s="1" t="str">
        <f>"00737705"</f>
        <v>00737705</v>
      </c>
      <c r="K4309" s="1" t="str">
        <f>"８９８　　　　　　　　　　　　　　　　　"</f>
        <v>８９８　　　　　　　　　　　　　　　　　</v>
      </c>
      <c r="L4309" s="1"/>
    </row>
    <row r="4310" spans="1:12" ht="18" customHeight="1" x14ac:dyDescent="0.15">
      <c r="A4310" s="11">
        <v>668</v>
      </c>
      <c r="B4310" s="11" t="s">
        <v>28</v>
      </c>
      <c r="C4310" s="11" t="s">
        <v>145</v>
      </c>
      <c r="D4310" s="11">
        <v>1</v>
      </c>
      <c r="E4310" s="11" t="s">
        <v>4</v>
      </c>
      <c r="F4310" s="12">
        <v>47510</v>
      </c>
      <c r="G4310" s="12">
        <v>47510</v>
      </c>
      <c r="H4310" s="11" t="str">
        <f t="shared" si="138"/>
        <v>平成6年9月22日</v>
      </c>
      <c r="I4310" s="22">
        <f t="shared" si="139"/>
        <v>34599</v>
      </c>
      <c r="J4310" s="1" t="str">
        <f>"00737707"</f>
        <v>00737707</v>
      </c>
      <c r="K4310" s="1" t="str">
        <f>"８９９　　　　　　　　　　　　　　　　　"</f>
        <v>８９９　　　　　　　　　　　　　　　　　</v>
      </c>
      <c r="L4310" s="1"/>
    </row>
    <row r="4311" spans="1:12" ht="18" customHeight="1" x14ac:dyDescent="0.15">
      <c r="A4311" s="11">
        <v>669</v>
      </c>
      <c r="B4311" s="11" t="s">
        <v>28</v>
      </c>
      <c r="C4311" s="11" t="s">
        <v>145</v>
      </c>
      <c r="D4311" s="11">
        <v>1</v>
      </c>
      <c r="E4311" s="11" t="s">
        <v>4</v>
      </c>
      <c r="F4311" s="12">
        <v>47510</v>
      </c>
      <c r="G4311" s="12">
        <v>47510</v>
      </c>
      <c r="H4311" s="11" t="str">
        <f t="shared" si="138"/>
        <v>平成6年9月22日</v>
      </c>
      <c r="I4311" s="22">
        <f t="shared" si="139"/>
        <v>34599</v>
      </c>
      <c r="J4311" s="1" t="str">
        <f>"00737709"</f>
        <v>00737709</v>
      </c>
      <c r="K4311" s="1" t="str">
        <f>"９００　　　　　　　　　　　　　　　　　"</f>
        <v>９００　　　　　　　　　　　　　　　　　</v>
      </c>
      <c r="L4311" s="1"/>
    </row>
    <row r="4312" spans="1:12" ht="18" customHeight="1" x14ac:dyDescent="0.15">
      <c r="A4312" s="11">
        <v>670</v>
      </c>
      <c r="B4312" s="11" t="s">
        <v>28</v>
      </c>
      <c r="C4312" s="11" t="s">
        <v>145</v>
      </c>
      <c r="D4312" s="11">
        <v>1</v>
      </c>
      <c r="E4312" s="11" t="s">
        <v>4</v>
      </c>
      <c r="F4312" s="12">
        <v>47510</v>
      </c>
      <c r="G4312" s="12">
        <v>47510</v>
      </c>
      <c r="H4312" s="11" t="str">
        <f t="shared" si="138"/>
        <v>平成6年9月22日</v>
      </c>
      <c r="I4312" s="22">
        <f t="shared" si="139"/>
        <v>34599</v>
      </c>
      <c r="J4312" s="1" t="str">
        <f>"00737711"</f>
        <v>00737711</v>
      </c>
      <c r="K4312" s="1" t="str">
        <f>"９０１　　　　　　　　　　　　　　　　　"</f>
        <v>９０１　　　　　　　　　　　　　　　　　</v>
      </c>
      <c r="L4312" s="1"/>
    </row>
    <row r="4313" spans="1:12" ht="18" customHeight="1" x14ac:dyDescent="0.15">
      <c r="A4313" s="11">
        <v>671</v>
      </c>
      <c r="B4313" s="11" t="s">
        <v>28</v>
      </c>
      <c r="C4313" s="11" t="s">
        <v>145</v>
      </c>
      <c r="D4313" s="11">
        <v>1</v>
      </c>
      <c r="E4313" s="11" t="s">
        <v>4</v>
      </c>
      <c r="F4313" s="12">
        <v>47510</v>
      </c>
      <c r="G4313" s="12">
        <v>47510</v>
      </c>
      <c r="H4313" s="11" t="str">
        <f t="shared" si="138"/>
        <v>平成6年9月22日</v>
      </c>
      <c r="I4313" s="22">
        <f t="shared" si="139"/>
        <v>34599</v>
      </c>
      <c r="J4313" s="1" t="str">
        <f>"00737713"</f>
        <v>00737713</v>
      </c>
      <c r="K4313" s="1" t="str">
        <f>"９０２　　　　　　　　　　　　　　　　　"</f>
        <v>９０２　　　　　　　　　　　　　　　　　</v>
      </c>
      <c r="L4313" s="1"/>
    </row>
    <row r="4314" spans="1:12" ht="18" customHeight="1" x14ac:dyDescent="0.15">
      <c r="A4314" s="11">
        <v>672</v>
      </c>
      <c r="B4314" s="11" t="s">
        <v>28</v>
      </c>
      <c r="C4314" s="11" t="s">
        <v>145</v>
      </c>
      <c r="D4314" s="11">
        <v>1</v>
      </c>
      <c r="E4314" s="11" t="s">
        <v>4</v>
      </c>
      <c r="F4314" s="12">
        <v>47510</v>
      </c>
      <c r="G4314" s="12">
        <v>47510</v>
      </c>
      <c r="H4314" s="11" t="str">
        <f t="shared" si="138"/>
        <v>平成6年9月22日</v>
      </c>
      <c r="I4314" s="22">
        <f t="shared" si="139"/>
        <v>34599</v>
      </c>
      <c r="J4314" s="1" t="str">
        <f>"00737715"</f>
        <v>00737715</v>
      </c>
      <c r="K4314" s="1" t="str">
        <f>"９０３　　　　　　　　　　　　　　　　　"</f>
        <v>９０３　　　　　　　　　　　　　　　　　</v>
      </c>
      <c r="L4314" s="1"/>
    </row>
    <row r="4315" spans="1:12" ht="18" customHeight="1" x14ac:dyDescent="0.15">
      <c r="A4315" s="11">
        <v>673</v>
      </c>
      <c r="B4315" s="11" t="s">
        <v>28</v>
      </c>
      <c r="C4315" s="11" t="s">
        <v>145</v>
      </c>
      <c r="D4315" s="11">
        <v>1</v>
      </c>
      <c r="E4315" s="11" t="s">
        <v>4</v>
      </c>
      <c r="F4315" s="12">
        <v>47510</v>
      </c>
      <c r="G4315" s="12">
        <v>47510</v>
      </c>
      <c r="H4315" s="11" t="str">
        <f t="shared" si="138"/>
        <v>平成6年9月22日</v>
      </c>
      <c r="I4315" s="22">
        <f t="shared" si="139"/>
        <v>34599</v>
      </c>
      <c r="J4315" s="1" t="str">
        <f>"00737717"</f>
        <v>00737717</v>
      </c>
      <c r="K4315" s="1" t="str">
        <f>"９０４　　　　　　　　　　　　　　　　　"</f>
        <v>９０４　　　　　　　　　　　　　　　　　</v>
      </c>
      <c r="L4315" s="1"/>
    </row>
    <row r="4316" spans="1:12" ht="18" customHeight="1" x14ac:dyDescent="0.15">
      <c r="A4316" s="11">
        <v>674</v>
      </c>
      <c r="B4316" s="11" t="s">
        <v>28</v>
      </c>
      <c r="C4316" s="11" t="s">
        <v>145</v>
      </c>
      <c r="D4316" s="11">
        <v>1</v>
      </c>
      <c r="E4316" s="11" t="s">
        <v>4</v>
      </c>
      <c r="F4316" s="12">
        <v>47510</v>
      </c>
      <c r="G4316" s="12">
        <v>47510</v>
      </c>
      <c r="H4316" s="11" t="str">
        <f t="shared" si="138"/>
        <v>平成6年9月22日</v>
      </c>
      <c r="I4316" s="22">
        <f t="shared" si="139"/>
        <v>34599</v>
      </c>
      <c r="J4316" s="1" t="str">
        <f>"00737719"</f>
        <v>00737719</v>
      </c>
      <c r="K4316" s="1" t="str">
        <f>"９０５　　　　　　　　　　　　　　　　　"</f>
        <v>９０５　　　　　　　　　　　　　　　　　</v>
      </c>
      <c r="L4316" s="1"/>
    </row>
    <row r="4317" spans="1:12" ht="18" customHeight="1" x14ac:dyDescent="0.15">
      <c r="A4317" s="11">
        <v>675</v>
      </c>
      <c r="B4317" s="11" t="s">
        <v>28</v>
      </c>
      <c r="C4317" s="11" t="s">
        <v>145</v>
      </c>
      <c r="D4317" s="11">
        <v>1</v>
      </c>
      <c r="E4317" s="11" t="s">
        <v>4</v>
      </c>
      <c r="F4317" s="12">
        <v>47510</v>
      </c>
      <c r="G4317" s="12">
        <v>47510</v>
      </c>
      <c r="H4317" s="11" t="str">
        <f t="shared" si="138"/>
        <v>平成6年9月22日</v>
      </c>
      <c r="I4317" s="22">
        <f t="shared" si="139"/>
        <v>34599</v>
      </c>
      <c r="J4317" s="1" t="str">
        <f>"00737721"</f>
        <v>00737721</v>
      </c>
      <c r="K4317" s="1" t="str">
        <f>"９０６　　　　　　　　　　　　　　　　　"</f>
        <v>９０６　　　　　　　　　　　　　　　　　</v>
      </c>
      <c r="L4317" s="1"/>
    </row>
    <row r="4318" spans="1:12" ht="18" customHeight="1" x14ac:dyDescent="0.15">
      <c r="A4318" s="11">
        <v>676</v>
      </c>
      <c r="B4318" s="11" t="s">
        <v>28</v>
      </c>
      <c r="C4318" s="11" t="s">
        <v>145</v>
      </c>
      <c r="D4318" s="11">
        <v>1</v>
      </c>
      <c r="E4318" s="11" t="s">
        <v>4</v>
      </c>
      <c r="F4318" s="12">
        <v>47510</v>
      </c>
      <c r="G4318" s="12">
        <v>47510</v>
      </c>
      <c r="H4318" s="11" t="str">
        <f t="shared" si="138"/>
        <v>平成6年9月22日</v>
      </c>
      <c r="I4318" s="22">
        <f t="shared" si="139"/>
        <v>34599</v>
      </c>
      <c r="J4318" s="1" t="str">
        <f>"00737723"</f>
        <v>00737723</v>
      </c>
      <c r="K4318" s="1" t="str">
        <f>"９０７　　　　　　　　　　　　　　　　　"</f>
        <v>９０７　　　　　　　　　　　　　　　　　</v>
      </c>
      <c r="L4318" s="1"/>
    </row>
    <row r="4319" spans="1:12" ht="18" customHeight="1" x14ac:dyDescent="0.15">
      <c r="A4319" s="11">
        <v>677</v>
      </c>
      <c r="B4319" s="11" t="s">
        <v>28</v>
      </c>
      <c r="C4319" s="11" t="s">
        <v>145</v>
      </c>
      <c r="D4319" s="11">
        <v>1</v>
      </c>
      <c r="E4319" s="11" t="s">
        <v>4</v>
      </c>
      <c r="F4319" s="12">
        <v>47510</v>
      </c>
      <c r="G4319" s="12">
        <v>47510</v>
      </c>
      <c r="H4319" s="11" t="str">
        <f t="shared" si="138"/>
        <v>平成6年9月22日</v>
      </c>
      <c r="I4319" s="22">
        <f t="shared" si="139"/>
        <v>34599</v>
      </c>
      <c r="J4319" s="1" t="str">
        <f>"00737725"</f>
        <v>00737725</v>
      </c>
      <c r="K4319" s="1" t="str">
        <f>"９０８　　　　　　　　　　　　　　　　　"</f>
        <v>９０８　　　　　　　　　　　　　　　　　</v>
      </c>
      <c r="L4319" s="1"/>
    </row>
    <row r="4320" spans="1:12" ht="18" customHeight="1" x14ac:dyDescent="0.15">
      <c r="A4320" s="11">
        <v>678</v>
      </c>
      <c r="B4320" s="11" t="s">
        <v>28</v>
      </c>
      <c r="C4320" s="11" t="s">
        <v>145</v>
      </c>
      <c r="D4320" s="11">
        <v>1</v>
      </c>
      <c r="E4320" s="11" t="s">
        <v>4</v>
      </c>
      <c r="F4320" s="12">
        <v>47510</v>
      </c>
      <c r="G4320" s="12">
        <v>47510</v>
      </c>
      <c r="H4320" s="11" t="str">
        <f t="shared" si="138"/>
        <v>平成6年9月22日</v>
      </c>
      <c r="I4320" s="22">
        <f t="shared" si="139"/>
        <v>34599</v>
      </c>
      <c r="J4320" s="1" t="str">
        <f>"00737727"</f>
        <v>00737727</v>
      </c>
      <c r="K4320" s="1" t="str">
        <f>"９０９　　　　　　　　　　　　　　　　　"</f>
        <v>９０９　　　　　　　　　　　　　　　　　</v>
      </c>
      <c r="L4320" s="1"/>
    </row>
    <row r="4321" spans="1:12" ht="18" customHeight="1" x14ac:dyDescent="0.15">
      <c r="A4321" s="11">
        <v>679</v>
      </c>
      <c r="B4321" s="11" t="s">
        <v>28</v>
      </c>
      <c r="C4321" s="11" t="s">
        <v>145</v>
      </c>
      <c r="D4321" s="11">
        <v>1</v>
      </c>
      <c r="E4321" s="11" t="s">
        <v>4</v>
      </c>
      <c r="F4321" s="12">
        <v>47510</v>
      </c>
      <c r="G4321" s="12">
        <v>47510</v>
      </c>
      <c r="H4321" s="11" t="str">
        <f t="shared" ref="H4321:H4384" si="140">"平成6年9月22日"</f>
        <v>平成6年9月22日</v>
      </c>
      <c r="I4321" s="22">
        <f t="shared" si="139"/>
        <v>34599</v>
      </c>
      <c r="J4321" s="1" t="str">
        <f>"00737729"</f>
        <v>00737729</v>
      </c>
      <c r="K4321" s="1" t="str">
        <f>"９１０　　　　　　　　　　　　　　　　　"</f>
        <v>９１０　　　　　　　　　　　　　　　　　</v>
      </c>
      <c r="L4321" s="1"/>
    </row>
    <row r="4322" spans="1:12" ht="18" customHeight="1" x14ac:dyDescent="0.15">
      <c r="A4322" s="11">
        <v>680</v>
      </c>
      <c r="B4322" s="11" t="s">
        <v>28</v>
      </c>
      <c r="C4322" s="11" t="s">
        <v>145</v>
      </c>
      <c r="D4322" s="11">
        <v>1</v>
      </c>
      <c r="E4322" s="11" t="s">
        <v>4</v>
      </c>
      <c r="F4322" s="12">
        <v>47510</v>
      </c>
      <c r="G4322" s="12">
        <v>47510</v>
      </c>
      <c r="H4322" s="11" t="str">
        <f t="shared" si="140"/>
        <v>平成6年9月22日</v>
      </c>
      <c r="I4322" s="22">
        <f t="shared" si="139"/>
        <v>34599</v>
      </c>
      <c r="J4322" s="1" t="str">
        <f>"00737731"</f>
        <v>00737731</v>
      </c>
      <c r="K4322" s="1" t="str">
        <f>"９１１　　　　　　　　　　　　　　　　　"</f>
        <v>９１１　　　　　　　　　　　　　　　　　</v>
      </c>
      <c r="L4322" s="1"/>
    </row>
    <row r="4323" spans="1:12" ht="18" customHeight="1" x14ac:dyDescent="0.15">
      <c r="A4323" s="11">
        <v>681</v>
      </c>
      <c r="B4323" s="11" t="s">
        <v>28</v>
      </c>
      <c r="C4323" s="11" t="s">
        <v>145</v>
      </c>
      <c r="D4323" s="11">
        <v>1</v>
      </c>
      <c r="E4323" s="11" t="s">
        <v>4</v>
      </c>
      <c r="F4323" s="12">
        <v>47510</v>
      </c>
      <c r="G4323" s="12">
        <v>47510</v>
      </c>
      <c r="H4323" s="11" t="str">
        <f t="shared" si="140"/>
        <v>平成6年9月22日</v>
      </c>
      <c r="I4323" s="22">
        <f t="shared" si="139"/>
        <v>34599</v>
      </c>
      <c r="J4323" s="1" t="str">
        <f>"00737733"</f>
        <v>00737733</v>
      </c>
      <c r="K4323" s="1" t="str">
        <f>"９１２　　　　　　　　　　　　　　　　　"</f>
        <v>９１２　　　　　　　　　　　　　　　　　</v>
      </c>
      <c r="L4323" s="1"/>
    </row>
    <row r="4324" spans="1:12" ht="18" customHeight="1" x14ac:dyDescent="0.15">
      <c r="A4324" s="11">
        <v>682</v>
      </c>
      <c r="B4324" s="11" t="s">
        <v>28</v>
      </c>
      <c r="C4324" s="11" t="s">
        <v>145</v>
      </c>
      <c r="D4324" s="11">
        <v>1</v>
      </c>
      <c r="E4324" s="11" t="s">
        <v>4</v>
      </c>
      <c r="F4324" s="12">
        <v>47510</v>
      </c>
      <c r="G4324" s="12">
        <v>47510</v>
      </c>
      <c r="H4324" s="11" t="str">
        <f t="shared" si="140"/>
        <v>平成6年9月22日</v>
      </c>
      <c r="I4324" s="22">
        <f t="shared" si="139"/>
        <v>34599</v>
      </c>
      <c r="J4324" s="1" t="str">
        <f>"00737735"</f>
        <v>00737735</v>
      </c>
      <c r="K4324" s="1" t="str">
        <f>"９１３　　　　　　　　　　　　　　　　　"</f>
        <v>９１３　　　　　　　　　　　　　　　　　</v>
      </c>
      <c r="L4324" s="1"/>
    </row>
    <row r="4325" spans="1:12" ht="18" customHeight="1" x14ac:dyDescent="0.15">
      <c r="A4325" s="11">
        <v>683</v>
      </c>
      <c r="B4325" s="11" t="s">
        <v>28</v>
      </c>
      <c r="C4325" s="11" t="s">
        <v>145</v>
      </c>
      <c r="D4325" s="11">
        <v>1</v>
      </c>
      <c r="E4325" s="11" t="s">
        <v>4</v>
      </c>
      <c r="F4325" s="12">
        <v>47510</v>
      </c>
      <c r="G4325" s="12">
        <v>47510</v>
      </c>
      <c r="H4325" s="11" t="str">
        <f t="shared" si="140"/>
        <v>平成6年9月22日</v>
      </c>
      <c r="I4325" s="22">
        <f t="shared" si="139"/>
        <v>34599</v>
      </c>
      <c r="J4325" s="1" t="str">
        <f>"00737737"</f>
        <v>00737737</v>
      </c>
      <c r="K4325" s="1" t="str">
        <f>"９１４　　　　　　　　　　　　　　　　　"</f>
        <v>９１４　　　　　　　　　　　　　　　　　</v>
      </c>
      <c r="L4325" s="1"/>
    </row>
    <row r="4326" spans="1:12" ht="18" customHeight="1" x14ac:dyDescent="0.15">
      <c r="A4326" s="11">
        <v>684</v>
      </c>
      <c r="B4326" s="11" t="s">
        <v>28</v>
      </c>
      <c r="C4326" s="11" t="s">
        <v>145</v>
      </c>
      <c r="D4326" s="11">
        <v>1</v>
      </c>
      <c r="E4326" s="11" t="s">
        <v>4</v>
      </c>
      <c r="F4326" s="12">
        <v>47510</v>
      </c>
      <c r="G4326" s="12">
        <v>47510</v>
      </c>
      <c r="H4326" s="11" t="str">
        <f t="shared" si="140"/>
        <v>平成6年9月22日</v>
      </c>
      <c r="I4326" s="22">
        <f t="shared" si="139"/>
        <v>34599</v>
      </c>
      <c r="J4326" s="1" t="str">
        <f>"00737739"</f>
        <v>00737739</v>
      </c>
      <c r="K4326" s="1" t="str">
        <f>"９１５　　　　　　　　　　　　　　　　　"</f>
        <v>９１５　　　　　　　　　　　　　　　　　</v>
      </c>
      <c r="L4326" s="1"/>
    </row>
    <row r="4327" spans="1:12" ht="18" customHeight="1" x14ac:dyDescent="0.15">
      <c r="A4327" s="11">
        <v>685</v>
      </c>
      <c r="B4327" s="11" t="s">
        <v>28</v>
      </c>
      <c r="C4327" s="11" t="s">
        <v>145</v>
      </c>
      <c r="D4327" s="11">
        <v>1</v>
      </c>
      <c r="E4327" s="11" t="s">
        <v>4</v>
      </c>
      <c r="F4327" s="12">
        <v>47510</v>
      </c>
      <c r="G4327" s="12">
        <v>47510</v>
      </c>
      <c r="H4327" s="11" t="str">
        <f t="shared" si="140"/>
        <v>平成6年9月22日</v>
      </c>
      <c r="I4327" s="22">
        <f t="shared" si="139"/>
        <v>34599</v>
      </c>
      <c r="J4327" s="1" t="str">
        <f>"00737741"</f>
        <v>00737741</v>
      </c>
      <c r="K4327" s="1" t="str">
        <f>"９１６　　　　　　　　　　　　　　　　　"</f>
        <v>９１６　　　　　　　　　　　　　　　　　</v>
      </c>
      <c r="L4327" s="1"/>
    </row>
    <row r="4328" spans="1:12" ht="18" customHeight="1" x14ac:dyDescent="0.15">
      <c r="A4328" s="11">
        <v>686</v>
      </c>
      <c r="B4328" s="11" t="s">
        <v>28</v>
      </c>
      <c r="C4328" s="11" t="s">
        <v>145</v>
      </c>
      <c r="D4328" s="11">
        <v>1</v>
      </c>
      <c r="E4328" s="11" t="s">
        <v>4</v>
      </c>
      <c r="F4328" s="12">
        <v>47510</v>
      </c>
      <c r="G4328" s="12">
        <v>47510</v>
      </c>
      <c r="H4328" s="11" t="str">
        <f t="shared" si="140"/>
        <v>平成6年9月22日</v>
      </c>
      <c r="I4328" s="22">
        <f t="shared" si="139"/>
        <v>34599</v>
      </c>
      <c r="J4328" s="1" t="str">
        <f>"00737743"</f>
        <v>00737743</v>
      </c>
      <c r="K4328" s="1" t="str">
        <f>"９１７　　　　　　　　　　　　　　　　　"</f>
        <v>９１７　　　　　　　　　　　　　　　　　</v>
      </c>
      <c r="L4328" s="1"/>
    </row>
    <row r="4329" spans="1:12" ht="18" customHeight="1" x14ac:dyDescent="0.15">
      <c r="A4329" s="11">
        <v>687</v>
      </c>
      <c r="B4329" s="11" t="s">
        <v>28</v>
      </c>
      <c r="C4329" s="11" t="s">
        <v>145</v>
      </c>
      <c r="D4329" s="11">
        <v>1</v>
      </c>
      <c r="E4329" s="11" t="s">
        <v>4</v>
      </c>
      <c r="F4329" s="12">
        <v>47510</v>
      </c>
      <c r="G4329" s="12">
        <v>47510</v>
      </c>
      <c r="H4329" s="11" t="str">
        <f t="shared" si="140"/>
        <v>平成6年9月22日</v>
      </c>
      <c r="I4329" s="22">
        <f t="shared" si="139"/>
        <v>34599</v>
      </c>
      <c r="J4329" s="1" t="str">
        <f>"00737745"</f>
        <v>00737745</v>
      </c>
      <c r="K4329" s="1" t="str">
        <f>"９１８　　　　　　　　　　　　　　　　　"</f>
        <v>９１８　　　　　　　　　　　　　　　　　</v>
      </c>
      <c r="L4329" s="1"/>
    </row>
    <row r="4330" spans="1:12" ht="18" customHeight="1" x14ac:dyDescent="0.15">
      <c r="A4330" s="11">
        <v>688</v>
      </c>
      <c r="B4330" s="11" t="s">
        <v>28</v>
      </c>
      <c r="C4330" s="11" t="s">
        <v>145</v>
      </c>
      <c r="D4330" s="11">
        <v>1</v>
      </c>
      <c r="E4330" s="11" t="s">
        <v>4</v>
      </c>
      <c r="F4330" s="12">
        <v>47510</v>
      </c>
      <c r="G4330" s="12">
        <v>47510</v>
      </c>
      <c r="H4330" s="11" t="str">
        <f t="shared" si="140"/>
        <v>平成6年9月22日</v>
      </c>
      <c r="I4330" s="22">
        <f t="shared" si="139"/>
        <v>34599</v>
      </c>
      <c r="J4330" s="1" t="str">
        <f>"00737747"</f>
        <v>00737747</v>
      </c>
      <c r="K4330" s="1" t="str">
        <f>"９１９　　　　　　　　　　　　　　　　　"</f>
        <v>９１９　　　　　　　　　　　　　　　　　</v>
      </c>
      <c r="L4330" s="1"/>
    </row>
    <row r="4331" spans="1:12" ht="18" customHeight="1" x14ac:dyDescent="0.15">
      <c r="A4331" s="11">
        <v>689</v>
      </c>
      <c r="B4331" s="11" t="s">
        <v>28</v>
      </c>
      <c r="C4331" s="11" t="s">
        <v>145</v>
      </c>
      <c r="D4331" s="11">
        <v>1</v>
      </c>
      <c r="E4331" s="11" t="s">
        <v>4</v>
      </c>
      <c r="F4331" s="12">
        <v>47510</v>
      </c>
      <c r="G4331" s="12">
        <v>47510</v>
      </c>
      <c r="H4331" s="11" t="str">
        <f t="shared" si="140"/>
        <v>平成6年9月22日</v>
      </c>
      <c r="I4331" s="22">
        <f t="shared" si="139"/>
        <v>34599</v>
      </c>
      <c r="J4331" s="1" t="str">
        <f>"00737749"</f>
        <v>00737749</v>
      </c>
      <c r="K4331" s="1" t="str">
        <f>"９２０　　　　　　　　　　　　　　　　　"</f>
        <v>９２０　　　　　　　　　　　　　　　　　</v>
      </c>
      <c r="L4331" s="1"/>
    </row>
    <row r="4332" spans="1:12" ht="18" customHeight="1" x14ac:dyDescent="0.15">
      <c r="A4332" s="11">
        <v>690</v>
      </c>
      <c r="B4332" s="11" t="s">
        <v>28</v>
      </c>
      <c r="C4332" s="11" t="s">
        <v>145</v>
      </c>
      <c r="D4332" s="11">
        <v>1</v>
      </c>
      <c r="E4332" s="11" t="s">
        <v>4</v>
      </c>
      <c r="F4332" s="12">
        <v>47510</v>
      </c>
      <c r="G4332" s="12">
        <v>47510</v>
      </c>
      <c r="H4332" s="11" t="str">
        <f t="shared" si="140"/>
        <v>平成6年9月22日</v>
      </c>
      <c r="I4332" s="22">
        <f t="shared" si="139"/>
        <v>34599</v>
      </c>
      <c r="J4332" s="1" t="str">
        <f>"00737751"</f>
        <v>00737751</v>
      </c>
      <c r="K4332" s="1" t="str">
        <f>"９２１　　　　　　　　　　　　　　　　　"</f>
        <v>９２１　　　　　　　　　　　　　　　　　</v>
      </c>
      <c r="L4332" s="1"/>
    </row>
    <row r="4333" spans="1:12" ht="18" customHeight="1" x14ac:dyDescent="0.15">
      <c r="A4333" s="11">
        <v>691</v>
      </c>
      <c r="B4333" s="11" t="s">
        <v>28</v>
      </c>
      <c r="C4333" s="11" t="s">
        <v>145</v>
      </c>
      <c r="D4333" s="11">
        <v>1</v>
      </c>
      <c r="E4333" s="11" t="s">
        <v>4</v>
      </c>
      <c r="F4333" s="12">
        <v>47510</v>
      </c>
      <c r="G4333" s="12">
        <v>47510</v>
      </c>
      <c r="H4333" s="11" t="str">
        <f t="shared" si="140"/>
        <v>平成6年9月22日</v>
      </c>
      <c r="I4333" s="22">
        <f t="shared" si="139"/>
        <v>34599</v>
      </c>
      <c r="J4333" s="1" t="str">
        <f>"00737753"</f>
        <v>00737753</v>
      </c>
      <c r="K4333" s="1" t="str">
        <f>"９２２　　　　　　　　　　　　　　　　　"</f>
        <v>９２２　　　　　　　　　　　　　　　　　</v>
      </c>
      <c r="L4333" s="1"/>
    </row>
    <row r="4334" spans="1:12" ht="18" customHeight="1" x14ac:dyDescent="0.15">
      <c r="A4334" s="11">
        <v>692</v>
      </c>
      <c r="B4334" s="11" t="s">
        <v>28</v>
      </c>
      <c r="C4334" s="11" t="s">
        <v>145</v>
      </c>
      <c r="D4334" s="11">
        <v>1</v>
      </c>
      <c r="E4334" s="11" t="s">
        <v>4</v>
      </c>
      <c r="F4334" s="12">
        <v>47510</v>
      </c>
      <c r="G4334" s="12">
        <v>47510</v>
      </c>
      <c r="H4334" s="11" t="str">
        <f t="shared" si="140"/>
        <v>平成6年9月22日</v>
      </c>
      <c r="I4334" s="22">
        <f t="shared" si="139"/>
        <v>34599</v>
      </c>
      <c r="J4334" s="1" t="str">
        <f>"00737755"</f>
        <v>00737755</v>
      </c>
      <c r="K4334" s="1" t="str">
        <f>"９２３　　　　　　　　　　　　　　　　　"</f>
        <v>９２３　　　　　　　　　　　　　　　　　</v>
      </c>
      <c r="L4334" s="1"/>
    </row>
    <row r="4335" spans="1:12" ht="18" customHeight="1" x14ac:dyDescent="0.15">
      <c r="A4335" s="11">
        <v>693</v>
      </c>
      <c r="B4335" s="11" t="s">
        <v>28</v>
      </c>
      <c r="C4335" s="11" t="s">
        <v>145</v>
      </c>
      <c r="D4335" s="11">
        <v>1</v>
      </c>
      <c r="E4335" s="11" t="s">
        <v>4</v>
      </c>
      <c r="F4335" s="12">
        <v>47510</v>
      </c>
      <c r="G4335" s="12">
        <v>47510</v>
      </c>
      <c r="H4335" s="11" t="str">
        <f t="shared" si="140"/>
        <v>平成6年9月22日</v>
      </c>
      <c r="I4335" s="22">
        <f t="shared" si="139"/>
        <v>34599</v>
      </c>
      <c r="J4335" s="1" t="str">
        <f>"00737757"</f>
        <v>00737757</v>
      </c>
      <c r="K4335" s="1" t="str">
        <f>"９２４　　　　　　　　　　　　　　　　　"</f>
        <v>９２４　　　　　　　　　　　　　　　　　</v>
      </c>
      <c r="L4335" s="1"/>
    </row>
    <row r="4336" spans="1:12" ht="18" customHeight="1" x14ac:dyDescent="0.15">
      <c r="A4336" s="11">
        <v>694</v>
      </c>
      <c r="B4336" s="11" t="s">
        <v>28</v>
      </c>
      <c r="C4336" s="11" t="s">
        <v>145</v>
      </c>
      <c r="D4336" s="11">
        <v>1</v>
      </c>
      <c r="E4336" s="11" t="s">
        <v>4</v>
      </c>
      <c r="F4336" s="12">
        <v>47510</v>
      </c>
      <c r="G4336" s="12">
        <v>47510</v>
      </c>
      <c r="H4336" s="11" t="str">
        <f t="shared" si="140"/>
        <v>平成6年9月22日</v>
      </c>
      <c r="I4336" s="22">
        <f t="shared" si="139"/>
        <v>34599</v>
      </c>
      <c r="J4336" s="1" t="str">
        <f>"00737759"</f>
        <v>00737759</v>
      </c>
      <c r="K4336" s="1" t="str">
        <f>"９２５　　　　　　　　　　　　　　　　　"</f>
        <v>９２５　　　　　　　　　　　　　　　　　</v>
      </c>
      <c r="L4336" s="1"/>
    </row>
    <row r="4337" spans="1:12" ht="18" customHeight="1" x14ac:dyDescent="0.15">
      <c r="A4337" s="11">
        <v>695</v>
      </c>
      <c r="B4337" s="11" t="s">
        <v>28</v>
      </c>
      <c r="C4337" s="11" t="s">
        <v>145</v>
      </c>
      <c r="D4337" s="11">
        <v>1</v>
      </c>
      <c r="E4337" s="11" t="s">
        <v>4</v>
      </c>
      <c r="F4337" s="12">
        <v>47510</v>
      </c>
      <c r="G4337" s="12">
        <v>47510</v>
      </c>
      <c r="H4337" s="11" t="str">
        <f t="shared" si="140"/>
        <v>平成6年9月22日</v>
      </c>
      <c r="I4337" s="22">
        <f t="shared" si="139"/>
        <v>34599</v>
      </c>
      <c r="J4337" s="1" t="str">
        <f>"00737761"</f>
        <v>00737761</v>
      </c>
      <c r="K4337" s="1" t="str">
        <f>"９２６　　　　　　　　　　　　　　　　　"</f>
        <v>９２６　　　　　　　　　　　　　　　　　</v>
      </c>
      <c r="L4337" s="1"/>
    </row>
    <row r="4338" spans="1:12" ht="18" customHeight="1" x14ac:dyDescent="0.15">
      <c r="A4338" s="11">
        <v>696</v>
      </c>
      <c r="B4338" s="11" t="s">
        <v>28</v>
      </c>
      <c r="C4338" s="11" t="s">
        <v>145</v>
      </c>
      <c r="D4338" s="11">
        <v>1</v>
      </c>
      <c r="E4338" s="11" t="s">
        <v>4</v>
      </c>
      <c r="F4338" s="12">
        <v>47510</v>
      </c>
      <c r="G4338" s="12">
        <v>47510</v>
      </c>
      <c r="H4338" s="11" t="str">
        <f t="shared" si="140"/>
        <v>平成6年9月22日</v>
      </c>
      <c r="I4338" s="22">
        <f t="shared" si="139"/>
        <v>34599</v>
      </c>
      <c r="J4338" s="1" t="str">
        <f>"00737763"</f>
        <v>00737763</v>
      </c>
      <c r="K4338" s="1" t="str">
        <f>"９２７　　　　　　　　　　　　　　　　　"</f>
        <v>９２７　　　　　　　　　　　　　　　　　</v>
      </c>
      <c r="L4338" s="1"/>
    </row>
    <row r="4339" spans="1:12" ht="18" customHeight="1" x14ac:dyDescent="0.15">
      <c r="A4339" s="11">
        <v>697</v>
      </c>
      <c r="B4339" s="11" t="s">
        <v>28</v>
      </c>
      <c r="C4339" s="11" t="s">
        <v>145</v>
      </c>
      <c r="D4339" s="11">
        <v>1</v>
      </c>
      <c r="E4339" s="11" t="s">
        <v>4</v>
      </c>
      <c r="F4339" s="12">
        <v>47510</v>
      </c>
      <c r="G4339" s="12">
        <v>47510</v>
      </c>
      <c r="H4339" s="11" t="str">
        <f t="shared" si="140"/>
        <v>平成6年9月22日</v>
      </c>
      <c r="I4339" s="22">
        <f t="shared" si="139"/>
        <v>34599</v>
      </c>
      <c r="J4339" s="1" t="str">
        <f>"00737765"</f>
        <v>00737765</v>
      </c>
      <c r="K4339" s="1" t="str">
        <f>"９２８　　　　　　　　　　　　　　　　　"</f>
        <v>９２８　　　　　　　　　　　　　　　　　</v>
      </c>
      <c r="L4339" s="1"/>
    </row>
    <row r="4340" spans="1:12" ht="18" customHeight="1" x14ac:dyDescent="0.15">
      <c r="A4340" s="11">
        <v>698</v>
      </c>
      <c r="B4340" s="11" t="s">
        <v>28</v>
      </c>
      <c r="C4340" s="11" t="s">
        <v>145</v>
      </c>
      <c r="D4340" s="11">
        <v>1</v>
      </c>
      <c r="E4340" s="11" t="s">
        <v>4</v>
      </c>
      <c r="F4340" s="12">
        <v>47510</v>
      </c>
      <c r="G4340" s="12">
        <v>47510</v>
      </c>
      <c r="H4340" s="11" t="str">
        <f t="shared" si="140"/>
        <v>平成6年9月22日</v>
      </c>
      <c r="I4340" s="22">
        <f t="shared" si="139"/>
        <v>34599</v>
      </c>
      <c r="J4340" s="1" t="str">
        <f>"00737767"</f>
        <v>00737767</v>
      </c>
      <c r="K4340" s="1" t="str">
        <f>"９２９　　　　　　　　　　　　　　　　　"</f>
        <v>９２９　　　　　　　　　　　　　　　　　</v>
      </c>
      <c r="L4340" s="1"/>
    </row>
    <row r="4341" spans="1:12" ht="18" customHeight="1" x14ac:dyDescent="0.15">
      <c r="A4341" s="11">
        <v>699</v>
      </c>
      <c r="B4341" s="11" t="s">
        <v>28</v>
      </c>
      <c r="C4341" s="11" t="s">
        <v>145</v>
      </c>
      <c r="D4341" s="11">
        <v>1</v>
      </c>
      <c r="E4341" s="11" t="s">
        <v>4</v>
      </c>
      <c r="F4341" s="12">
        <v>47510</v>
      </c>
      <c r="G4341" s="12">
        <v>47510</v>
      </c>
      <c r="H4341" s="11" t="str">
        <f t="shared" si="140"/>
        <v>平成6年9月22日</v>
      </c>
      <c r="I4341" s="22">
        <f t="shared" si="139"/>
        <v>34599</v>
      </c>
      <c r="J4341" s="1" t="str">
        <f>"00737769"</f>
        <v>00737769</v>
      </c>
      <c r="K4341" s="1" t="str">
        <f>"９３０　　　　　　　　　　　　　　　　　"</f>
        <v>９３０　　　　　　　　　　　　　　　　　</v>
      </c>
      <c r="L4341" s="1"/>
    </row>
    <row r="4342" spans="1:12" ht="18" customHeight="1" x14ac:dyDescent="0.15">
      <c r="A4342" s="11">
        <v>700</v>
      </c>
      <c r="B4342" s="11" t="s">
        <v>28</v>
      </c>
      <c r="C4342" s="11" t="s">
        <v>145</v>
      </c>
      <c r="D4342" s="11">
        <v>1</v>
      </c>
      <c r="E4342" s="11" t="s">
        <v>4</v>
      </c>
      <c r="F4342" s="12">
        <v>47510</v>
      </c>
      <c r="G4342" s="12">
        <v>47510</v>
      </c>
      <c r="H4342" s="11" t="str">
        <f t="shared" si="140"/>
        <v>平成6年9月22日</v>
      </c>
      <c r="I4342" s="22">
        <f t="shared" si="139"/>
        <v>34599</v>
      </c>
      <c r="J4342" s="1" t="str">
        <f>"00737771"</f>
        <v>00737771</v>
      </c>
      <c r="K4342" s="1" t="str">
        <f>"９３１　　　　　　　　　　　　　　　　　"</f>
        <v>９３１　　　　　　　　　　　　　　　　　</v>
      </c>
      <c r="L4342" s="1"/>
    </row>
    <row r="4343" spans="1:12" ht="18" customHeight="1" x14ac:dyDescent="0.15">
      <c r="A4343" s="11">
        <v>701</v>
      </c>
      <c r="B4343" s="11" t="s">
        <v>28</v>
      </c>
      <c r="C4343" s="11" t="s">
        <v>145</v>
      </c>
      <c r="D4343" s="11">
        <v>1</v>
      </c>
      <c r="E4343" s="11" t="s">
        <v>4</v>
      </c>
      <c r="F4343" s="12">
        <v>47510</v>
      </c>
      <c r="G4343" s="12">
        <v>47510</v>
      </c>
      <c r="H4343" s="11" t="str">
        <f t="shared" si="140"/>
        <v>平成6年9月22日</v>
      </c>
      <c r="I4343" s="22">
        <f t="shared" si="139"/>
        <v>34599</v>
      </c>
      <c r="J4343" s="1" t="str">
        <f>"00737773"</f>
        <v>00737773</v>
      </c>
      <c r="K4343" s="1" t="str">
        <f>"９３２　　　　　　　　　　　　　　　　　"</f>
        <v>９３２　　　　　　　　　　　　　　　　　</v>
      </c>
      <c r="L4343" s="1"/>
    </row>
    <row r="4344" spans="1:12" ht="18" customHeight="1" x14ac:dyDescent="0.15">
      <c r="A4344" s="11">
        <v>702</v>
      </c>
      <c r="B4344" s="11" t="s">
        <v>28</v>
      </c>
      <c r="C4344" s="11" t="s">
        <v>145</v>
      </c>
      <c r="D4344" s="11">
        <v>1</v>
      </c>
      <c r="E4344" s="11" t="s">
        <v>4</v>
      </c>
      <c r="F4344" s="12">
        <v>47510</v>
      </c>
      <c r="G4344" s="12">
        <v>47510</v>
      </c>
      <c r="H4344" s="11" t="str">
        <f t="shared" si="140"/>
        <v>平成6年9月22日</v>
      </c>
      <c r="I4344" s="22">
        <f t="shared" si="139"/>
        <v>34599</v>
      </c>
      <c r="J4344" s="1" t="str">
        <f>"00737775"</f>
        <v>00737775</v>
      </c>
      <c r="K4344" s="1" t="str">
        <f>"９３３　　　　　　　　　　　　　　　　　"</f>
        <v>９３３　　　　　　　　　　　　　　　　　</v>
      </c>
      <c r="L4344" s="1"/>
    </row>
    <row r="4345" spans="1:12" ht="18" customHeight="1" x14ac:dyDescent="0.15">
      <c r="A4345" s="11">
        <v>703</v>
      </c>
      <c r="B4345" s="11" t="s">
        <v>28</v>
      </c>
      <c r="C4345" s="11" t="s">
        <v>145</v>
      </c>
      <c r="D4345" s="11">
        <v>1</v>
      </c>
      <c r="E4345" s="11" t="s">
        <v>4</v>
      </c>
      <c r="F4345" s="12">
        <v>47510</v>
      </c>
      <c r="G4345" s="12">
        <v>47510</v>
      </c>
      <c r="H4345" s="11" t="str">
        <f t="shared" si="140"/>
        <v>平成6年9月22日</v>
      </c>
      <c r="I4345" s="22">
        <f t="shared" si="139"/>
        <v>34599</v>
      </c>
      <c r="J4345" s="1" t="str">
        <f>"00737777"</f>
        <v>00737777</v>
      </c>
      <c r="K4345" s="1" t="str">
        <f>"９３４　　　　　　　　　　　　　　　　　"</f>
        <v>９３４　　　　　　　　　　　　　　　　　</v>
      </c>
      <c r="L4345" s="1"/>
    </row>
    <row r="4346" spans="1:12" ht="18" customHeight="1" x14ac:dyDescent="0.15">
      <c r="A4346" s="11">
        <v>704</v>
      </c>
      <c r="B4346" s="11" t="s">
        <v>28</v>
      </c>
      <c r="C4346" s="11" t="s">
        <v>145</v>
      </c>
      <c r="D4346" s="11">
        <v>1</v>
      </c>
      <c r="E4346" s="11" t="s">
        <v>4</v>
      </c>
      <c r="F4346" s="12">
        <v>47510</v>
      </c>
      <c r="G4346" s="12">
        <v>47510</v>
      </c>
      <c r="H4346" s="11" t="str">
        <f t="shared" si="140"/>
        <v>平成6年9月22日</v>
      </c>
      <c r="I4346" s="22">
        <f t="shared" si="139"/>
        <v>34599</v>
      </c>
      <c r="J4346" s="1" t="str">
        <f>"00737779"</f>
        <v>00737779</v>
      </c>
      <c r="K4346" s="1" t="str">
        <f>"９３５　　　　　　　　　　　　　　　　　"</f>
        <v>９３５　　　　　　　　　　　　　　　　　</v>
      </c>
      <c r="L4346" s="1"/>
    </row>
    <row r="4347" spans="1:12" ht="18" customHeight="1" x14ac:dyDescent="0.15">
      <c r="A4347" s="11">
        <v>705</v>
      </c>
      <c r="B4347" s="11" t="s">
        <v>28</v>
      </c>
      <c r="C4347" s="11" t="s">
        <v>145</v>
      </c>
      <c r="D4347" s="11">
        <v>1</v>
      </c>
      <c r="E4347" s="11" t="s">
        <v>4</v>
      </c>
      <c r="F4347" s="12">
        <v>47510</v>
      </c>
      <c r="G4347" s="12">
        <v>47510</v>
      </c>
      <c r="H4347" s="11" t="str">
        <f t="shared" si="140"/>
        <v>平成6年9月22日</v>
      </c>
      <c r="I4347" s="22">
        <f t="shared" si="139"/>
        <v>34599</v>
      </c>
      <c r="J4347" s="1" t="str">
        <f>"00737781"</f>
        <v>00737781</v>
      </c>
      <c r="K4347" s="1" t="str">
        <f>"９３６　　　　　　　　　　　　　　　　　"</f>
        <v>９３６　　　　　　　　　　　　　　　　　</v>
      </c>
      <c r="L4347" s="1"/>
    </row>
    <row r="4348" spans="1:12" ht="18" customHeight="1" x14ac:dyDescent="0.15">
      <c r="A4348" s="11">
        <v>706</v>
      </c>
      <c r="B4348" s="11" t="s">
        <v>28</v>
      </c>
      <c r="C4348" s="11" t="s">
        <v>145</v>
      </c>
      <c r="D4348" s="11">
        <v>1</v>
      </c>
      <c r="E4348" s="11" t="s">
        <v>4</v>
      </c>
      <c r="F4348" s="12">
        <v>47510</v>
      </c>
      <c r="G4348" s="12">
        <v>47510</v>
      </c>
      <c r="H4348" s="11" t="str">
        <f t="shared" si="140"/>
        <v>平成6年9月22日</v>
      </c>
      <c r="I4348" s="22">
        <f t="shared" si="139"/>
        <v>34599</v>
      </c>
      <c r="J4348" s="1" t="str">
        <f>"00737783"</f>
        <v>00737783</v>
      </c>
      <c r="K4348" s="1" t="str">
        <f>"９３７　　　　　　　　　　　　　　　　　"</f>
        <v>９３７　　　　　　　　　　　　　　　　　</v>
      </c>
      <c r="L4348" s="1"/>
    </row>
    <row r="4349" spans="1:12" ht="18" customHeight="1" x14ac:dyDescent="0.15">
      <c r="A4349" s="11">
        <v>707</v>
      </c>
      <c r="B4349" s="11" t="s">
        <v>28</v>
      </c>
      <c r="C4349" s="11" t="s">
        <v>145</v>
      </c>
      <c r="D4349" s="11">
        <v>1</v>
      </c>
      <c r="E4349" s="11" t="s">
        <v>4</v>
      </c>
      <c r="F4349" s="12">
        <v>47510</v>
      </c>
      <c r="G4349" s="12">
        <v>47510</v>
      </c>
      <c r="H4349" s="11" t="str">
        <f t="shared" si="140"/>
        <v>平成6年9月22日</v>
      </c>
      <c r="I4349" s="22">
        <f t="shared" si="139"/>
        <v>34599</v>
      </c>
      <c r="J4349" s="1" t="str">
        <f>"00737785"</f>
        <v>00737785</v>
      </c>
      <c r="K4349" s="1" t="str">
        <f>"９３８　　　　　　　　　　　　　　　　　"</f>
        <v>９３８　　　　　　　　　　　　　　　　　</v>
      </c>
      <c r="L4349" s="1"/>
    </row>
    <row r="4350" spans="1:12" ht="18" customHeight="1" x14ac:dyDescent="0.15">
      <c r="A4350" s="11">
        <v>708</v>
      </c>
      <c r="B4350" s="11" t="s">
        <v>28</v>
      </c>
      <c r="C4350" s="11" t="s">
        <v>145</v>
      </c>
      <c r="D4350" s="11">
        <v>1</v>
      </c>
      <c r="E4350" s="11" t="s">
        <v>4</v>
      </c>
      <c r="F4350" s="12">
        <v>47510</v>
      </c>
      <c r="G4350" s="12">
        <v>47510</v>
      </c>
      <c r="H4350" s="11" t="str">
        <f t="shared" si="140"/>
        <v>平成6年9月22日</v>
      </c>
      <c r="I4350" s="22">
        <f t="shared" si="139"/>
        <v>34599</v>
      </c>
      <c r="J4350" s="1" t="str">
        <f>"00737787"</f>
        <v>00737787</v>
      </c>
      <c r="K4350" s="1" t="str">
        <f>"９３９　　　　　　　　　　　　　　　　　"</f>
        <v>９３９　　　　　　　　　　　　　　　　　</v>
      </c>
      <c r="L4350" s="1"/>
    </row>
    <row r="4351" spans="1:12" ht="18" customHeight="1" x14ac:dyDescent="0.15">
      <c r="A4351" s="11">
        <v>709</v>
      </c>
      <c r="B4351" s="11" t="s">
        <v>28</v>
      </c>
      <c r="C4351" s="11" t="s">
        <v>145</v>
      </c>
      <c r="D4351" s="11">
        <v>1</v>
      </c>
      <c r="E4351" s="11" t="s">
        <v>4</v>
      </c>
      <c r="F4351" s="12">
        <v>47510</v>
      </c>
      <c r="G4351" s="12">
        <v>47510</v>
      </c>
      <c r="H4351" s="11" t="str">
        <f t="shared" si="140"/>
        <v>平成6年9月22日</v>
      </c>
      <c r="I4351" s="22">
        <f t="shared" si="139"/>
        <v>34599</v>
      </c>
      <c r="J4351" s="1" t="str">
        <f>"00737789"</f>
        <v>00737789</v>
      </c>
      <c r="K4351" s="1" t="str">
        <f>"９４０　　　　　　　　　　　　　　　　　"</f>
        <v>９４０　　　　　　　　　　　　　　　　　</v>
      </c>
      <c r="L4351" s="1"/>
    </row>
    <row r="4352" spans="1:12" ht="18" customHeight="1" x14ac:dyDescent="0.15">
      <c r="A4352" s="11">
        <v>710</v>
      </c>
      <c r="B4352" s="11" t="s">
        <v>28</v>
      </c>
      <c r="C4352" s="11" t="s">
        <v>145</v>
      </c>
      <c r="D4352" s="11">
        <v>1</v>
      </c>
      <c r="E4352" s="11" t="s">
        <v>4</v>
      </c>
      <c r="F4352" s="12">
        <v>47510</v>
      </c>
      <c r="G4352" s="12">
        <v>47510</v>
      </c>
      <c r="H4352" s="11" t="str">
        <f t="shared" si="140"/>
        <v>平成6年9月22日</v>
      </c>
      <c r="I4352" s="22">
        <f t="shared" si="139"/>
        <v>34599</v>
      </c>
      <c r="J4352" s="1" t="str">
        <f>"00737791"</f>
        <v>00737791</v>
      </c>
      <c r="K4352" s="1" t="str">
        <f>"９４１　　　　　　　　　　　　　　　　　"</f>
        <v>９４１　　　　　　　　　　　　　　　　　</v>
      </c>
      <c r="L4352" s="1"/>
    </row>
    <row r="4353" spans="1:12" ht="18" customHeight="1" x14ac:dyDescent="0.15">
      <c r="A4353" s="11">
        <v>711</v>
      </c>
      <c r="B4353" s="11" t="s">
        <v>28</v>
      </c>
      <c r="C4353" s="11" t="s">
        <v>145</v>
      </c>
      <c r="D4353" s="11">
        <v>1</v>
      </c>
      <c r="E4353" s="11" t="s">
        <v>4</v>
      </c>
      <c r="F4353" s="12">
        <v>47510</v>
      </c>
      <c r="G4353" s="12">
        <v>47510</v>
      </c>
      <c r="H4353" s="11" t="str">
        <f t="shared" si="140"/>
        <v>平成6年9月22日</v>
      </c>
      <c r="I4353" s="22">
        <f t="shared" si="139"/>
        <v>34599</v>
      </c>
      <c r="J4353" s="1" t="str">
        <f>"00737793"</f>
        <v>00737793</v>
      </c>
      <c r="K4353" s="1" t="str">
        <f>"９４２　　　　　　　　　　　　　　　　　"</f>
        <v>９４２　　　　　　　　　　　　　　　　　</v>
      </c>
      <c r="L4353" s="1"/>
    </row>
    <row r="4354" spans="1:12" ht="18" customHeight="1" x14ac:dyDescent="0.15">
      <c r="A4354" s="11">
        <v>712</v>
      </c>
      <c r="B4354" s="11" t="s">
        <v>28</v>
      </c>
      <c r="C4354" s="11" t="s">
        <v>145</v>
      </c>
      <c r="D4354" s="11">
        <v>1</v>
      </c>
      <c r="E4354" s="11" t="s">
        <v>4</v>
      </c>
      <c r="F4354" s="12">
        <v>47510</v>
      </c>
      <c r="G4354" s="12">
        <v>47510</v>
      </c>
      <c r="H4354" s="11" t="str">
        <f t="shared" si="140"/>
        <v>平成6年9月22日</v>
      </c>
      <c r="I4354" s="22">
        <f t="shared" si="139"/>
        <v>34599</v>
      </c>
      <c r="J4354" s="1" t="str">
        <f>"00737794"</f>
        <v>00737794</v>
      </c>
      <c r="K4354" s="1" t="str">
        <f>"９４３　　　　　　　　　　　　　　　　　"</f>
        <v>９４３　　　　　　　　　　　　　　　　　</v>
      </c>
      <c r="L4354" s="1"/>
    </row>
    <row r="4355" spans="1:12" ht="18" customHeight="1" x14ac:dyDescent="0.15">
      <c r="A4355" s="11">
        <v>713</v>
      </c>
      <c r="B4355" s="11" t="s">
        <v>28</v>
      </c>
      <c r="C4355" s="11" t="s">
        <v>145</v>
      </c>
      <c r="D4355" s="11">
        <v>1</v>
      </c>
      <c r="E4355" s="11" t="s">
        <v>4</v>
      </c>
      <c r="F4355" s="12">
        <v>47510</v>
      </c>
      <c r="G4355" s="12">
        <v>47510</v>
      </c>
      <c r="H4355" s="11" t="str">
        <f t="shared" si="140"/>
        <v>平成6年9月22日</v>
      </c>
      <c r="I4355" s="22">
        <f t="shared" si="139"/>
        <v>34599</v>
      </c>
      <c r="J4355" s="1" t="str">
        <f>"00737796"</f>
        <v>00737796</v>
      </c>
      <c r="K4355" s="1" t="str">
        <f>"９４４　　　　　　　　　　　　　　　　　"</f>
        <v>９４４　　　　　　　　　　　　　　　　　</v>
      </c>
      <c r="L4355" s="1"/>
    </row>
    <row r="4356" spans="1:12" ht="18" customHeight="1" x14ac:dyDescent="0.15">
      <c r="A4356" s="11">
        <v>714</v>
      </c>
      <c r="B4356" s="11" t="s">
        <v>28</v>
      </c>
      <c r="C4356" s="11" t="s">
        <v>145</v>
      </c>
      <c r="D4356" s="11">
        <v>1</v>
      </c>
      <c r="E4356" s="11" t="s">
        <v>4</v>
      </c>
      <c r="F4356" s="12">
        <v>47510</v>
      </c>
      <c r="G4356" s="12">
        <v>47510</v>
      </c>
      <c r="H4356" s="11" t="str">
        <f t="shared" si="140"/>
        <v>平成6年9月22日</v>
      </c>
      <c r="I4356" s="22">
        <f t="shared" si="139"/>
        <v>34599</v>
      </c>
      <c r="J4356" s="1" t="str">
        <f>"00737798"</f>
        <v>00737798</v>
      </c>
      <c r="K4356" s="1" t="str">
        <f>"９４５　　　　　　　　　　　　　　　　　"</f>
        <v>９４５　　　　　　　　　　　　　　　　　</v>
      </c>
      <c r="L4356" s="1"/>
    </row>
    <row r="4357" spans="1:12" ht="18" customHeight="1" x14ac:dyDescent="0.15">
      <c r="A4357" s="11">
        <v>715</v>
      </c>
      <c r="B4357" s="11" t="s">
        <v>28</v>
      </c>
      <c r="C4357" s="11" t="s">
        <v>145</v>
      </c>
      <c r="D4357" s="11">
        <v>1</v>
      </c>
      <c r="E4357" s="11" t="s">
        <v>4</v>
      </c>
      <c r="F4357" s="12">
        <v>47510</v>
      </c>
      <c r="G4357" s="12">
        <v>47510</v>
      </c>
      <c r="H4357" s="11" t="str">
        <f t="shared" si="140"/>
        <v>平成6年9月22日</v>
      </c>
      <c r="I4357" s="22">
        <f t="shared" si="139"/>
        <v>34599</v>
      </c>
      <c r="J4357" s="1" t="str">
        <f>"00737800"</f>
        <v>00737800</v>
      </c>
      <c r="K4357" s="1" t="str">
        <f>"９４６　　　　　　　　　　　　　　　　　"</f>
        <v>９４６　　　　　　　　　　　　　　　　　</v>
      </c>
      <c r="L4357" s="1"/>
    </row>
    <row r="4358" spans="1:12" ht="18" customHeight="1" x14ac:dyDescent="0.15">
      <c r="A4358" s="11">
        <v>716</v>
      </c>
      <c r="B4358" s="11" t="s">
        <v>28</v>
      </c>
      <c r="C4358" s="11" t="s">
        <v>145</v>
      </c>
      <c r="D4358" s="11">
        <v>1</v>
      </c>
      <c r="E4358" s="11" t="s">
        <v>4</v>
      </c>
      <c r="F4358" s="12">
        <v>47510</v>
      </c>
      <c r="G4358" s="12">
        <v>47510</v>
      </c>
      <c r="H4358" s="11" t="str">
        <f t="shared" si="140"/>
        <v>平成6年9月22日</v>
      </c>
      <c r="I4358" s="22">
        <f t="shared" si="139"/>
        <v>34599</v>
      </c>
      <c r="J4358" s="1" t="str">
        <f>"00737802"</f>
        <v>00737802</v>
      </c>
      <c r="K4358" s="1" t="str">
        <f>"９４７　　　　　　　　　　　　　　　　　"</f>
        <v>９４７　　　　　　　　　　　　　　　　　</v>
      </c>
      <c r="L4358" s="1"/>
    </row>
    <row r="4359" spans="1:12" ht="18" customHeight="1" x14ac:dyDescent="0.15">
      <c r="A4359" s="11">
        <v>717</v>
      </c>
      <c r="B4359" s="11" t="s">
        <v>28</v>
      </c>
      <c r="C4359" s="11" t="s">
        <v>145</v>
      </c>
      <c r="D4359" s="11">
        <v>1</v>
      </c>
      <c r="E4359" s="11" t="s">
        <v>4</v>
      </c>
      <c r="F4359" s="12">
        <v>47510</v>
      </c>
      <c r="G4359" s="12">
        <v>47510</v>
      </c>
      <c r="H4359" s="11" t="str">
        <f t="shared" si="140"/>
        <v>平成6年9月22日</v>
      </c>
      <c r="I4359" s="22">
        <f t="shared" si="139"/>
        <v>34599</v>
      </c>
      <c r="J4359" s="1" t="str">
        <f>"00737805"</f>
        <v>00737805</v>
      </c>
      <c r="K4359" s="1" t="str">
        <f>"９４８　　　　　　　　　　　　　　　　　"</f>
        <v>９４８　　　　　　　　　　　　　　　　　</v>
      </c>
      <c r="L4359" s="1"/>
    </row>
    <row r="4360" spans="1:12" ht="18" customHeight="1" x14ac:dyDescent="0.15">
      <c r="A4360" s="11">
        <v>718</v>
      </c>
      <c r="B4360" s="11" t="s">
        <v>28</v>
      </c>
      <c r="C4360" s="11" t="s">
        <v>145</v>
      </c>
      <c r="D4360" s="11">
        <v>1</v>
      </c>
      <c r="E4360" s="11" t="s">
        <v>4</v>
      </c>
      <c r="F4360" s="12">
        <v>47510</v>
      </c>
      <c r="G4360" s="12">
        <v>47510</v>
      </c>
      <c r="H4360" s="11" t="str">
        <f t="shared" si="140"/>
        <v>平成6年9月22日</v>
      </c>
      <c r="I4360" s="22">
        <f t="shared" si="139"/>
        <v>34599</v>
      </c>
      <c r="J4360" s="1" t="str">
        <f>"00737807"</f>
        <v>00737807</v>
      </c>
      <c r="K4360" s="1" t="str">
        <f>"９４９　　　　　　　　　　　　　　　　　"</f>
        <v>９４９　　　　　　　　　　　　　　　　　</v>
      </c>
      <c r="L4360" s="1"/>
    </row>
    <row r="4361" spans="1:12" ht="18" customHeight="1" x14ac:dyDescent="0.15">
      <c r="A4361" s="11">
        <v>719</v>
      </c>
      <c r="B4361" s="11" t="s">
        <v>28</v>
      </c>
      <c r="C4361" s="11" t="s">
        <v>145</v>
      </c>
      <c r="D4361" s="11">
        <v>1</v>
      </c>
      <c r="E4361" s="11" t="s">
        <v>4</v>
      </c>
      <c r="F4361" s="12">
        <v>47510</v>
      </c>
      <c r="G4361" s="12">
        <v>47510</v>
      </c>
      <c r="H4361" s="11" t="str">
        <f t="shared" si="140"/>
        <v>平成6年9月22日</v>
      </c>
      <c r="I4361" s="22">
        <f t="shared" si="139"/>
        <v>34599</v>
      </c>
      <c r="J4361" s="1" t="str">
        <f>"00737809"</f>
        <v>00737809</v>
      </c>
      <c r="K4361" s="1" t="str">
        <f>"９５０　　　　　　　　　　　　　　　　　"</f>
        <v>９５０　　　　　　　　　　　　　　　　　</v>
      </c>
      <c r="L4361" s="1"/>
    </row>
    <row r="4362" spans="1:12" ht="18" customHeight="1" x14ac:dyDescent="0.15">
      <c r="A4362" s="11">
        <v>720</v>
      </c>
      <c r="B4362" s="11" t="s">
        <v>28</v>
      </c>
      <c r="C4362" s="11" t="s">
        <v>145</v>
      </c>
      <c r="D4362" s="11">
        <v>1</v>
      </c>
      <c r="E4362" s="11" t="s">
        <v>4</v>
      </c>
      <c r="F4362" s="12">
        <v>47510</v>
      </c>
      <c r="G4362" s="12">
        <v>47510</v>
      </c>
      <c r="H4362" s="11" t="str">
        <f t="shared" si="140"/>
        <v>平成6年9月22日</v>
      </c>
      <c r="I4362" s="22">
        <f t="shared" si="139"/>
        <v>34599</v>
      </c>
      <c r="J4362" s="1" t="str">
        <f>"00737811"</f>
        <v>00737811</v>
      </c>
      <c r="K4362" s="1" t="str">
        <f>"９５１　　　　　　　　　　　　　　　　　"</f>
        <v>９５１　　　　　　　　　　　　　　　　　</v>
      </c>
      <c r="L4362" s="1"/>
    </row>
    <row r="4363" spans="1:12" ht="18" customHeight="1" x14ac:dyDescent="0.15">
      <c r="A4363" s="11">
        <v>721</v>
      </c>
      <c r="B4363" s="11" t="s">
        <v>28</v>
      </c>
      <c r="C4363" s="11" t="s">
        <v>145</v>
      </c>
      <c r="D4363" s="11">
        <v>1</v>
      </c>
      <c r="E4363" s="11" t="s">
        <v>4</v>
      </c>
      <c r="F4363" s="12">
        <v>47510</v>
      </c>
      <c r="G4363" s="12">
        <v>47510</v>
      </c>
      <c r="H4363" s="11" t="str">
        <f t="shared" si="140"/>
        <v>平成6年9月22日</v>
      </c>
      <c r="I4363" s="22">
        <f t="shared" si="139"/>
        <v>34599</v>
      </c>
      <c r="J4363" s="1" t="str">
        <f>"00737813"</f>
        <v>00737813</v>
      </c>
      <c r="K4363" s="1" t="str">
        <f>"９５２　　　　　　　　　　　　　　　　　"</f>
        <v>９５２　　　　　　　　　　　　　　　　　</v>
      </c>
      <c r="L4363" s="1"/>
    </row>
    <row r="4364" spans="1:12" ht="18" customHeight="1" x14ac:dyDescent="0.15">
      <c r="A4364" s="11">
        <v>722</v>
      </c>
      <c r="B4364" s="11" t="s">
        <v>28</v>
      </c>
      <c r="C4364" s="11" t="s">
        <v>145</v>
      </c>
      <c r="D4364" s="11">
        <v>1</v>
      </c>
      <c r="E4364" s="11" t="s">
        <v>4</v>
      </c>
      <c r="F4364" s="12">
        <v>47510</v>
      </c>
      <c r="G4364" s="12">
        <v>47510</v>
      </c>
      <c r="H4364" s="11" t="str">
        <f t="shared" si="140"/>
        <v>平成6年9月22日</v>
      </c>
      <c r="I4364" s="22">
        <f t="shared" si="139"/>
        <v>34599</v>
      </c>
      <c r="J4364" s="1" t="str">
        <f>"00737815"</f>
        <v>00737815</v>
      </c>
      <c r="K4364" s="1" t="str">
        <f>"９５３　　　　　　　　　　　　　　　　　"</f>
        <v>９５３　　　　　　　　　　　　　　　　　</v>
      </c>
      <c r="L4364" s="1"/>
    </row>
    <row r="4365" spans="1:12" ht="18" customHeight="1" x14ac:dyDescent="0.15">
      <c r="A4365" s="11">
        <v>723</v>
      </c>
      <c r="B4365" s="11" t="s">
        <v>28</v>
      </c>
      <c r="C4365" s="11" t="s">
        <v>145</v>
      </c>
      <c r="D4365" s="11">
        <v>1</v>
      </c>
      <c r="E4365" s="11" t="s">
        <v>4</v>
      </c>
      <c r="F4365" s="12">
        <v>47510</v>
      </c>
      <c r="G4365" s="12">
        <v>47510</v>
      </c>
      <c r="H4365" s="11" t="str">
        <f t="shared" si="140"/>
        <v>平成6年9月22日</v>
      </c>
      <c r="I4365" s="22">
        <f t="shared" si="139"/>
        <v>34599</v>
      </c>
      <c r="J4365" s="1" t="str">
        <f>"00737817"</f>
        <v>00737817</v>
      </c>
      <c r="K4365" s="1" t="str">
        <f>"９５４　　　　　　　　　　　　　　　　　"</f>
        <v>９５４　　　　　　　　　　　　　　　　　</v>
      </c>
      <c r="L4365" s="1"/>
    </row>
    <row r="4366" spans="1:12" ht="18" customHeight="1" x14ac:dyDescent="0.15">
      <c r="A4366" s="11">
        <v>724</v>
      </c>
      <c r="B4366" s="11" t="s">
        <v>28</v>
      </c>
      <c r="C4366" s="11" t="s">
        <v>145</v>
      </c>
      <c r="D4366" s="11">
        <v>1</v>
      </c>
      <c r="E4366" s="11" t="s">
        <v>4</v>
      </c>
      <c r="F4366" s="12">
        <v>47510</v>
      </c>
      <c r="G4366" s="12">
        <v>47510</v>
      </c>
      <c r="H4366" s="11" t="str">
        <f t="shared" si="140"/>
        <v>平成6年9月22日</v>
      </c>
      <c r="I4366" s="22">
        <f t="shared" si="139"/>
        <v>34599</v>
      </c>
      <c r="J4366" s="1" t="str">
        <f>"00737819"</f>
        <v>00737819</v>
      </c>
      <c r="K4366" s="1" t="str">
        <f>"９５５　　　　　　　　　　　　　　　　　"</f>
        <v>９５５　　　　　　　　　　　　　　　　　</v>
      </c>
      <c r="L4366" s="1"/>
    </row>
    <row r="4367" spans="1:12" ht="18" customHeight="1" x14ac:dyDescent="0.15">
      <c r="A4367" s="11">
        <v>725</v>
      </c>
      <c r="B4367" s="11" t="s">
        <v>28</v>
      </c>
      <c r="C4367" s="11" t="s">
        <v>145</v>
      </c>
      <c r="D4367" s="11">
        <v>1</v>
      </c>
      <c r="E4367" s="11" t="s">
        <v>4</v>
      </c>
      <c r="F4367" s="12">
        <v>47510</v>
      </c>
      <c r="G4367" s="12">
        <v>47510</v>
      </c>
      <c r="H4367" s="11" t="str">
        <f t="shared" si="140"/>
        <v>平成6年9月22日</v>
      </c>
      <c r="I4367" s="22">
        <f t="shared" si="139"/>
        <v>34599</v>
      </c>
      <c r="J4367" s="1" t="str">
        <f>"00737821"</f>
        <v>00737821</v>
      </c>
      <c r="K4367" s="1" t="str">
        <f>"９５６　　　　　　　　　　　　　　　　　"</f>
        <v>９５６　　　　　　　　　　　　　　　　　</v>
      </c>
      <c r="L4367" s="1"/>
    </row>
    <row r="4368" spans="1:12" ht="18" customHeight="1" x14ac:dyDescent="0.15">
      <c r="A4368" s="11">
        <v>726</v>
      </c>
      <c r="B4368" s="11" t="s">
        <v>28</v>
      </c>
      <c r="C4368" s="11" t="s">
        <v>145</v>
      </c>
      <c r="D4368" s="11">
        <v>1</v>
      </c>
      <c r="E4368" s="11" t="s">
        <v>4</v>
      </c>
      <c r="F4368" s="12">
        <v>47510</v>
      </c>
      <c r="G4368" s="12">
        <v>47510</v>
      </c>
      <c r="H4368" s="11" t="str">
        <f t="shared" si="140"/>
        <v>平成6年9月22日</v>
      </c>
      <c r="I4368" s="22">
        <f t="shared" si="139"/>
        <v>34599</v>
      </c>
      <c r="J4368" s="1" t="str">
        <f>"00737823"</f>
        <v>00737823</v>
      </c>
      <c r="K4368" s="1" t="str">
        <f>"９５７　　　　　　　　　　　　　　　　　"</f>
        <v>９５７　　　　　　　　　　　　　　　　　</v>
      </c>
      <c r="L4368" s="1"/>
    </row>
    <row r="4369" spans="1:12" ht="18" customHeight="1" x14ac:dyDescent="0.15">
      <c r="A4369" s="11">
        <v>727</v>
      </c>
      <c r="B4369" s="11" t="s">
        <v>28</v>
      </c>
      <c r="C4369" s="11" t="s">
        <v>145</v>
      </c>
      <c r="D4369" s="11">
        <v>1</v>
      </c>
      <c r="E4369" s="11" t="s">
        <v>4</v>
      </c>
      <c r="F4369" s="12">
        <v>47510</v>
      </c>
      <c r="G4369" s="12">
        <v>47510</v>
      </c>
      <c r="H4369" s="11" t="str">
        <f t="shared" si="140"/>
        <v>平成6年9月22日</v>
      </c>
      <c r="I4369" s="22">
        <f t="shared" si="139"/>
        <v>34599</v>
      </c>
      <c r="J4369" s="1" t="str">
        <f>"00737825"</f>
        <v>00737825</v>
      </c>
      <c r="K4369" s="1" t="str">
        <f>"９５８　　　　　　　　　　　　　　　　　"</f>
        <v>９５８　　　　　　　　　　　　　　　　　</v>
      </c>
      <c r="L4369" s="1"/>
    </row>
    <row r="4370" spans="1:12" ht="18" customHeight="1" x14ac:dyDescent="0.15">
      <c r="A4370" s="11">
        <v>728</v>
      </c>
      <c r="B4370" s="11" t="s">
        <v>28</v>
      </c>
      <c r="C4370" s="11" t="s">
        <v>145</v>
      </c>
      <c r="D4370" s="11">
        <v>1</v>
      </c>
      <c r="E4370" s="11" t="s">
        <v>4</v>
      </c>
      <c r="F4370" s="12">
        <v>47510</v>
      </c>
      <c r="G4370" s="12">
        <v>47510</v>
      </c>
      <c r="H4370" s="11" t="str">
        <f t="shared" si="140"/>
        <v>平成6年9月22日</v>
      </c>
      <c r="I4370" s="22">
        <f t="shared" ref="I4370:I4433" si="141">DATEVALUE(H4370)</f>
        <v>34599</v>
      </c>
      <c r="J4370" s="1" t="str">
        <f>"00737827"</f>
        <v>00737827</v>
      </c>
      <c r="K4370" s="1" t="str">
        <f>"９５９　　　　　　　　　　　　　　　　　"</f>
        <v>９５９　　　　　　　　　　　　　　　　　</v>
      </c>
      <c r="L4370" s="1"/>
    </row>
    <row r="4371" spans="1:12" ht="18" customHeight="1" x14ac:dyDescent="0.15">
      <c r="A4371" s="11">
        <v>729</v>
      </c>
      <c r="B4371" s="11" t="s">
        <v>28</v>
      </c>
      <c r="C4371" s="11" t="s">
        <v>145</v>
      </c>
      <c r="D4371" s="11">
        <v>1</v>
      </c>
      <c r="E4371" s="11" t="s">
        <v>4</v>
      </c>
      <c r="F4371" s="12">
        <v>47510</v>
      </c>
      <c r="G4371" s="12">
        <v>47510</v>
      </c>
      <c r="H4371" s="11" t="str">
        <f t="shared" si="140"/>
        <v>平成6年9月22日</v>
      </c>
      <c r="I4371" s="22">
        <f t="shared" si="141"/>
        <v>34599</v>
      </c>
      <c r="J4371" s="1" t="str">
        <f>"00737829"</f>
        <v>00737829</v>
      </c>
      <c r="K4371" s="1" t="str">
        <f>"９６０　　　　　　　　　　　　　　　　　"</f>
        <v>９６０　　　　　　　　　　　　　　　　　</v>
      </c>
      <c r="L4371" s="1"/>
    </row>
    <row r="4372" spans="1:12" ht="18" customHeight="1" x14ac:dyDescent="0.15">
      <c r="A4372" s="11">
        <v>730</v>
      </c>
      <c r="B4372" s="11" t="s">
        <v>28</v>
      </c>
      <c r="C4372" s="11" t="s">
        <v>145</v>
      </c>
      <c r="D4372" s="11">
        <v>1</v>
      </c>
      <c r="E4372" s="11" t="s">
        <v>4</v>
      </c>
      <c r="F4372" s="12">
        <v>47510</v>
      </c>
      <c r="G4372" s="12">
        <v>47510</v>
      </c>
      <c r="H4372" s="11" t="str">
        <f t="shared" si="140"/>
        <v>平成6年9月22日</v>
      </c>
      <c r="I4372" s="22">
        <f t="shared" si="141"/>
        <v>34599</v>
      </c>
      <c r="J4372" s="1" t="str">
        <f>"00737831"</f>
        <v>00737831</v>
      </c>
      <c r="K4372" s="1" t="str">
        <f>"９６１　　　　　　　　　　　　　　　　　"</f>
        <v>９６１　　　　　　　　　　　　　　　　　</v>
      </c>
      <c r="L4372" s="1"/>
    </row>
    <row r="4373" spans="1:12" ht="18" customHeight="1" x14ac:dyDescent="0.15">
      <c r="A4373" s="11">
        <v>731</v>
      </c>
      <c r="B4373" s="11" t="s">
        <v>28</v>
      </c>
      <c r="C4373" s="11" t="s">
        <v>145</v>
      </c>
      <c r="D4373" s="11">
        <v>1</v>
      </c>
      <c r="E4373" s="11" t="s">
        <v>4</v>
      </c>
      <c r="F4373" s="12">
        <v>47510</v>
      </c>
      <c r="G4373" s="12">
        <v>47510</v>
      </c>
      <c r="H4373" s="11" t="str">
        <f t="shared" si="140"/>
        <v>平成6年9月22日</v>
      </c>
      <c r="I4373" s="22">
        <f t="shared" si="141"/>
        <v>34599</v>
      </c>
      <c r="J4373" s="1" t="str">
        <f>"00737833"</f>
        <v>00737833</v>
      </c>
      <c r="K4373" s="1" t="str">
        <f>"９６２　　　　　　　　　　　　　　　　　"</f>
        <v>９６２　　　　　　　　　　　　　　　　　</v>
      </c>
      <c r="L4373" s="1"/>
    </row>
    <row r="4374" spans="1:12" ht="18" customHeight="1" x14ac:dyDescent="0.15">
      <c r="A4374" s="11">
        <v>732</v>
      </c>
      <c r="B4374" s="11" t="s">
        <v>28</v>
      </c>
      <c r="C4374" s="11" t="s">
        <v>145</v>
      </c>
      <c r="D4374" s="11">
        <v>1</v>
      </c>
      <c r="E4374" s="11" t="s">
        <v>4</v>
      </c>
      <c r="F4374" s="12">
        <v>47510</v>
      </c>
      <c r="G4374" s="12">
        <v>47510</v>
      </c>
      <c r="H4374" s="11" t="str">
        <f t="shared" si="140"/>
        <v>平成6年9月22日</v>
      </c>
      <c r="I4374" s="22">
        <f t="shared" si="141"/>
        <v>34599</v>
      </c>
      <c r="J4374" s="1" t="str">
        <f>"00737835"</f>
        <v>00737835</v>
      </c>
      <c r="K4374" s="1" t="str">
        <f>"９６３　　　　　　　　　　　　　　　　　"</f>
        <v>９６３　　　　　　　　　　　　　　　　　</v>
      </c>
      <c r="L4374" s="1"/>
    </row>
    <row r="4375" spans="1:12" ht="18" customHeight="1" x14ac:dyDescent="0.15">
      <c r="A4375" s="11">
        <v>733</v>
      </c>
      <c r="B4375" s="11" t="s">
        <v>28</v>
      </c>
      <c r="C4375" s="11" t="s">
        <v>145</v>
      </c>
      <c r="D4375" s="11">
        <v>1</v>
      </c>
      <c r="E4375" s="11" t="s">
        <v>4</v>
      </c>
      <c r="F4375" s="12">
        <v>47510</v>
      </c>
      <c r="G4375" s="12">
        <v>47510</v>
      </c>
      <c r="H4375" s="11" t="str">
        <f t="shared" si="140"/>
        <v>平成6年9月22日</v>
      </c>
      <c r="I4375" s="22">
        <f t="shared" si="141"/>
        <v>34599</v>
      </c>
      <c r="J4375" s="1" t="str">
        <f>"00737837"</f>
        <v>00737837</v>
      </c>
      <c r="K4375" s="1" t="str">
        <f>"９６４　　　　　　　　　　　　　　　　　"</f>
        <v>９６４　　　　　　　　　　　　　　　　　</v>
      </c>
      <c r="L4375" s="1"/>
    </row>
    <row r="4376" spans="1:12" ht="18" customHeight="1" x14ac:dyDescent="0.15">
      <c r="A4376" s="11">
        <v>734</v>
      </c>
      <c r="B4376" s="11" t="s">
        <v>28</v>
      </c>
      <c r="C4376" s="11" t="s">
        <v>145</v>
      </c>
      <c r="D4376" s="11">
        <v>1</v>
      </c>
      <c r="E4376" s="11" t="s">
        <v>4</v>
      </c>
      <c r="F4376" s="12">
        <v>47510</v>
      </c>
      <c r="G4376" s="12">
        <v>47510</v>
      </c>
      <c r="H4376" s="11" t="str">
        <f t="shared" si="140"/>
        <v>平成6年9月22日</v>
      </c>
      <c r="I4376" s="22">
        <f t="shared" si="141"/>
        <v>34599</v>
      </c>
      <c r="J4376" s="1" t="str">
        <f>"00737839"</f>
        <v>00737839</v>
      </c>
      <c r="K4376" s="1" t="str">
        <f>"９６５　　　　　　　　　　　　　　　　　"</f>
        <v>９６５　　　　　　　　　　　　　　　　　</v>
      </c>
      <c r="L4376" s="1"/>
    </row>
    <row r="4377" spans="1:12" ht="18" customHeight="1" x14ac:dyDescent="0.15">
      <c r="A4377" s="11">
        <v>735</v>
      </c>
      <c r="B4377" s="11" t="s">
        <v>28</v>
      </c>
      <c r="C4377" s="11" t="s">
        <v>145</v>
      </c>
      <c r="D4377" s="11">
        <v>1</v>
      </c>
      <c r="E4377" s="11" t="s">
        <v>4</v>
      </c>
      <c r="F4377" s="12">
        <v>47510</v>
      </c>
      <c r="G4377" s="12">
        <v>47510</v>
      </c>
      <c r="H4377" s="11" t="str">
        <f t="shared" si="140"/>
        <v>平成6年9月22日</v>
      </c>
      <c r="I4377" s="22">
        <f t="shared" si="141"/>
        <v>34599</v>
      </c>
      <c r="J4377" s="1" t="str">
        <f>"00737841"</f>
        <v>00737841</v>
      </c>
      <c r="K4377" s="1" t="str">
        <f>"９６６　　　　　　　　　　　　　　　　　"</f>
        <v>９６６　　　　　　　　　　　　　　　　　</v>
      </c>
      <c r="L4377" s="1"/>
    </row>
    <row r="4378" spans="1:12" ht="18" customHeight="1" x14ac:dyDescent="0.15">
      <c r="A4378" s="11">
        <v>736</v>
      </c>
      <c r="B4378" s="11" t="s">
        <v>28</v>
      </c>
      <c r="C4378" s="11" t="s">
        <v>145</v>
      </c>
      <c r="D4378" s="11">
        <v>1</v>
      </c>
      <c r="E4378" s="11" t="s">
        <v>4</v>
      </c>
      <c r="F4378" s="12">
        <v>47510</v>
      </c>
      <c r="G4378" s="12">
        <v>47510</v>
      </c>
      <c r="H4378" s="11" t="str">
        <f t="shared" si="140"/>
        <v>平成6年9月22日</v>
      </c>
      <c r="I4378" s="22">
        <f t="shared" si="141"/>
        <v>34599</v>
      </c>
      <c r="J4378" s="1" t="str">
        <f>"00737843"</f>
        <v>00737843</v>
      </c>
      <c r="K4378" s="1" t="str">
        <f>"９６７　　　　　　　　　　　　　　　　　"</f>
        <v>９６７　　　　　　　　　　　　　　　　　</v>
      </c>
      <c r="L4378" s="1"/>
    </row>
    <row r="4379" spans="1:12" ht="18" customHeight="1" x14ac:dyDescent="0.15">
      <c r="A4379" s="11">
        <v>737</v>
      </c>
      <c r="B4379" s="11" t="s">
        <v>28</v>
      </c>
      <c r="C4379" s="11" t="s">
        <v>145</v>
      </c>
      <c r="D4379" s="11">
        <v>1</v>
      </c>
      <c r="E4379" s="11" t="s">
        <v>4</v>
      </c>
      <c r="F4379" s="12">
        <v>47510</v>
      </c>
      <c r="G4379" s="12">
        <v>47510</v>
      </c>
      <c r="H4379" s="11" t="str">
        <f t="shared" si="140"/>
        <v>平成6年9月22日</v>
      </c>
      <c r="I4379" s="22">
        <f t="shared" si="141"/>
        <v>34599</v>
      </c>
      <c r="J4379" s="1" t="str">
        <f>"00737845"</f>
        <v>00737845</v>
      </c>
      <c r="K4379" s="1" t="str">
        <f>"９６８　　　　　　　　　　　　　　　　　"</f>
        <v>９６８　　　　　　　　　　　　　　　　　</v>
      </c>
      <c r="L4379" s="1"/>
    </row>
    <row r="4380" spans="1:12" ht="18" customHeight="1" x14ac:dyDescent="0.15">
      <c r="A4380" s="11">
        <v>738</v>
      </c>
      <c r="B4380" s="11" t="s">
        <v>28</v>
      </c>
      <c r="C4380" s="11" t="s">
        <v>145</v>
      </c>
      <c r="D4380" s="11">
        <v>1</v>
      </c>
      <c r="E4380" s="11" t="s">
        <v>4</v>
      </c>
      <c r="F4380" s="12">
        <v>47510</v>
      </c>
      <c r="G4380" s="12">
        <v>47510</v>
      </c>
      <c r="H4380" s="11" t="str">
        <f t="shared" si="140"/>
        <v>平成6年9月22日</v>
      </c>
      <c r="I4380" s="22">
        <f t="shared" si="141"/>
        <v>34599</v>
      </c>
      <c r="J4380" s="1" t="str">
        <f>"00737847"</f>
        <v>00737847</v>
      </c>
      <c r="K4380" s="1" t="str">
        <f>"９６９　　　　　　　　　　　　　　　　　"</f>
        <v>９６９　　　　　　　　　　　　　　　　　</v>
      </c>
      <c r="L4380" s="1"/>
    </row>
    <row r="4381" spans="1:12" ht="18" customHeight="1" x14ac:dyDescent="0.15">
      <c r="A4381" s="11">
        <v>739</v>
      </c>
      <c r="B4381" s="11" t="s">
        <v>28</v>
      </c>
      <c r="C4381" s="11" t="s">
        <v>145</v>
      </c>
      <c r="D4381" s="11">
        <v>1</v>
      </c>
      <c r="E4381" s="11" t="s">
        <v>4</v>
      </c>
      <c r="F4381" s="12">
        <v>47510</v>
      </c>
      <c r="G4381" s="12">
        <v>47510</v>
      </c>
      <c r="H4381" s="11" t="str">
        <f t="shared" si="140"/>
        <v>平成6年9月22日</v>
      </c>
      <c r="I4381" s="22">
        <f t="shared" si="141"/>
        <v>34599</v>
      </c>
      <c r="J4381" s="1" t="str">
        <f>"00737849"</f>
        <v>00737849</v>
      </c>
      <c r="K4381" s="1" t="str">
        <f>"９７０　　　　　　　　　　　　　　　　　"</f>
        <v>９７０　　　　　　　　　　　　　　　　　</v>
      </c>
      <c r="L4381" s="1"/>
    </row>
    <row r="4382" spans="1:12" ht="18" customHeight="1" x14ac:dyDescent="0.15">
      <c r="A4382" s="11">
        <v>740</v>
      </c>
      <c r="B4382" s="11" t="s">
        <v>28</v>
      </c>
      <c r="C4382" s="11" t="s">
        <v>145</v>
      </c>
      <c r="D4382" s="11">
        <v>1</v>
      </c>
      <c r="E4382" s="11" t="s">
        <v>4</v>
      </c>
      <c r="F4382" s="12">
        <v>47510</v>
      </c>
      <c r="G4382" s="12">
        <v>47510</v>
      </c>
      <c r="H4382" s="11" t="str">
        <f t="shared" si="140"/>
        <v>平成6年9月22日</v>
      </c>
      <c r="I4382" s="22">
        <f t="shared" si="141"/>
        <v>34599</v>
      </c>
      <c r="J4382" s="1" t="str">
        <f>"00737851"</f>
        <v>00737851</v>
      </c>
      <c r="K4382" s="1" t="str">
        <f>"９７１　　　　　　　　　　　　　　　　　"</f>
        <v>９７１　　　　　　　　　　　　　　　　　</v>
      </c>
      <c r="L4382" s="1"/>
    </row>
    <row r="4383" spans="1:12" ht="18" customHeight="1" x14ac:dyDescent="0.15">
      <c r="A4383" s="11">
        <v>741</v>
      </c>
      <c r="B4383" s="11" t="s">
        <v>28</v>
      </c>
      <c r="C4383" s="11" t="s">
        <v>145</v>
      </c>
      <c r="D4383" s="11">
        <v>1</v>
      </c>
      <c r="E4383" s="11" t="s">
        <v>4</v>
      </c>
      <c r="F4383" s="12">
        <v>47510</v>
      </c>
      <c r="G4383" s="12">
        <v>47510</v>
      </c>
      <c r="H4383" s="11" t="str">
        <f t="shared" si="140"/>
        <v>平成6年9月22日</v>
      </c>
      <c r="I4383" s="22">
        <f t="shared" si="141"/>
        <v>34599</v>
      </c>
      <c r="J4383" s="1" t="str">
        <f>"00737853"</f>
        <v>00737853</v>
      </c>
      <c r="K4383" s="1" t="str">
        <f>"９７２　　　　　　　　　　　　　　　　　"</f>
        <v>９７２　　　　　　　　　　　　　　　　　</v>
      </c>
      <c r="L4383" s="1"/>
    </row>
    <row r="4384" spans="1:12" ht="18" customHeight="1" x14ac:dyDescent="0.15">
      <c r="A4384" s="11">
        <v>742</v>
      </c>
      <c r="B4384" s="11" t="s">
        <v>28</v>
      </c>
      <c r="C4384" s="11" t="s">
        <v>145</v>
      </c>
      <c r="D4384" s="11">
        <v>1</v>
      </c>
      <c r="E4384" s="11" t="s">
        <v>4</v>
      </c>
      <c r="F4384" s="12">
        <v>47510</v>
      </c>
      <c r="G4384" s="12">
        <v>47510</v>
      </c>
      <c r="H4384" s="11" t="str">
        <f t="shared" si="140"/>
        <v>平成6年9月22日</v>
      </c>
      <c r="I4384" s="22">
        <f t="shared" si="141"/>
        <v>34599</v>
      </c>
      <c r="J4384" s="1" t="str">
        <f>"00737855"</f>
        <v>00737855</v>
      </c>
      <c r="K4384" s="1" t="str">
        <f>"９７３　　　　　　　　　　　　　　　　　"</f>
        <v>９７３　　　　　　　　　　　　　　　　　</v>
      </c>
      <c r="L4384" s="1"/>
    </row>
    <row r="4385" spans="1:12" ht="18" customHeight="1" x14ac:dyDescent="0.15">
      <c r="A4385" s="11">
        <v>743</v>
      </c>
      <c r="B4385" s="11" t="s">
        <v>28</v>
      </c>
      <c r="C4385" s="11" t="s">
        <v>145</v>
      </c>
      <c r="D4385" s="11">
        <v>1</v>
      </c>
      <c r="E4385" s="11" t="s">
        <v>4</v>
      </c>
      <c r="F4385" s="12">
        <v>47510</v>
      </c>
      <c r="G4385" s="12">
        <v>47510</v>
      </c>
      <c r="H4385" s="11" t="str">
        <f t="shared" ref="H4385:H4448" si="142">"平成6年9月22日"</f>
        <v>平成6年9月22日</v>
      </c>
      <c r="I4385" s="22">
        <f t="shared" si="141"/>
        <v>34599</v>
      </c>
      <c r="J4385" s="1" t="str">
        <f>"00737857"</f>
        <v>00737857</v>
      </c>
      <c r="K4385" s="1" t="str">
        <f>"９７４　　　　　　　　　　　　　　　　　"</f>
        <v>９７４　　　　　　　　　　　　　　　　　</v>
      </c>
      <c r="L4385" s="1"/>
    </row>
    <row r="4386" spans="1:12" ht="18" customHeight="1" x14ac:dyDescent="0.15">
      <c r="A4386" s="11">
        <v>744</v>
      </c>
      <c r="B4386" s="11" t="s">
        <v>28</v>
      </c>
      <c r="C4386" s="11" t="s">
        <v>145</v>
      </c>
      <c r="D4386" s="11">
        <v>1</v>
      </c>
      <c r="E4386" s="11" t="s">
        <v>4</v>
      </c>
      <c r="F4386" s="12">
        <v>47510</v>
      </c>
      <c r="G4386" s="12">
        <v>47510</v>
      </c>
      <c r="H4386" s="11" t="str">
        <f t="shared" si="142"/>
        <v>平成6年9月22日</v>
      </c>
      <c r="I4386" s="22">
        <f t="shared" si="141"/>
        <v>34599</v>
      </c>
      <c r="J4386" s="1" t="str">
        <f>"00737859"</f>
        <v>00737859</v>
      </c>
      <c r="K4386" s="1" t="str">
        <f>"９７５　　　　　　　　　　　　　　　　　"</f>
        <v>９７５　　　　　　　　　　　　　　　　　</v>
      </c>
      <c r="L4386" s="1"/>
    </row>
    <row r="4387" spans="1:12" ht="18" customHeight="1" x14ac:dyDescent="0.15">
      <c r="A4387" s="11">
        <v>745</v>
      </c>
      <c r="B4387" s="11" t="s">
        <v>28</v>
      </c>
      <c r="C4387" s="11" t="s">
        <v>145</v>
      </c>
      <c r="D4387" s="11">
        <v>1</v>
      </c>
      <c r="E4387" s="11" t="s">
        <v>4</v>
      </c>
      <c r="F4387" s="12">
        <v>47510</v>
      </c>
      <c r="G4387" s="12">
        <v>47510</v>
      </c>
      <c r="H4387" s="11" t="str">
        <f t="shared" si="142"/>
        <v>平成6年9月22日</v>
      </c>
      <c r="I4387" s="22">
        <f t="shared" si="141"/>
        <v>34599</v>
      </c>
      <c r="J4387" s="1" t="str">
        <f>"00737861"</f>
        <v>00737861</v>
      </c>
      <c r="K4387" s="1" t="str">
        <f>"９７６　　　　　　　　　　　　　　　　　"</f>
        <v>９７６　　　　　　　　　　　　　　　　　</v>
      </c>
      <c r="L4387" s="1"/>
    </row>
    <row r="4388" spans="1:12" ht="18" customHeight="1" x14ac:dyDescent="0.15">
      <c r="A4388" s="11">
        <v>746</v>
      </c>
      <c r="B4388" s="11" t="s">
        <v>28</v>
      </c>
      <c r="C4388" s="11" t="s">
        <v>145</v>
      </c>
      <c r="D4388" s="11">
        <v>1</v>
      </c>
      <c r="E4388" s="11" t="s">
        <v>4</v>
      </c>
      <c r="F4388" s="12">
        <v>47510</v>
      </c>
      <c r="G4388" s="12">
        <v>47510</v>
      </c>
      <c r="H4388" s="11" t="str">
        <f t="shared" si="142"/>
        <v>平成6年9月22日</v>
      </c>
      <c r="I4388" s="22">
        <f t="shared" si="141"/>
        <v>34599</v>
      </c>
      <c r="J4388" s="1" t="str">
        <f>"00737863"</f>
        <v>00737863</v>
      </c>
      <c r="K4388" s="1" t="str">
        <f>"９７７　　　　　　　　　　　　　　　　　"</f>
        <v>９７７　　　　　　　　　　　　　　　　　</v>
      </c>
      <c r="L4388" s="1"/>
    </row>
    <row r="4389" spans="1:12" ht="18" customHeight="1" x14ac:dyDescent="0.15">
      <c r="A4389" s="11">
        <v>747</v>
      </c>
      <c r="B4389" s="11" t="s">
        <v>28</v>
      </c>
      <c r="C4389" s="11" t="s">
        <v>145</v>
      </c>
      <c r="D4389" s="11">
        <v>1</v>
      </c>
      <c r="E4389" s="11" t="s">
        <v>4</v>
      </c>
      <c r="F4389" s="12">
        <v>47510</v>
      </c>
      <c r="G4389" s="12">
        <v>47510</v>
      </c>
      <c r="H4389" s="11" t="str">
        <f t="shared" si="142"/>
        <v>平成6年9月22日</v>
      </c>
      <c r="I4389" s="22">
        <f t="shared" si="141"/>
        <v>34599</v>
      </c>
      <c r="J4389" s="1" t="str">
        <f>"00737865"</f>
        <v>00737865</v>
      </c>
      <c r="K4389" s="1" t="str">
        <f>"９７８　　　　　　　　　　　　　　　　　"</f>
        <v>９７８　　　　　　　　　　　　　　　　　</v>
      </c>
      <c r="L4389" s="1"/>
    </row>
    <row r="4390" spans="1:12" ht="18" customHeight="1" x14ac:dyDescent="0.15">
      <c r="A4390" s="11">
        <v>748</v>
      </c>
      <c r="B4390" s="11" t="s">
        <v>28</v>
      </c>
      <c r="C4390" s="11" t="s">
        <v>145</v>
      </c>
      <c r="D4390" s="11">
        <v>1</v>
      </c>
      <c r="E4390" s="11" t="s">
        <v>4</v>
      </c>
      <c r="F4390" s="12">
        <v>47510</v>
      </c>
      <c r="G4390" s="12">
        <v>47510</v>
      </c>
      <c r="H4390" s="11" t="str">
        <f t="shared" si="142"/>
        <v>平成6年9月22日</v>
      </c>
      <c r="I4390" s="22">
        <f t="shared" si="141"/>
        <v>34599</v>
      </c>
      <c r="J4390" s="1" t="str">
        <f>"00737867"</f>
        <v>00737867</v>
      </c>
      <c r="K4390" s="1" t="str">
        <f>"９７９　　　　　　　　　　　　　　　　　"</f>
        <v>９７９　　　　　　　　　　　　　　　　　</v>
      </c>
      <c r="L4390" s="1"/>
    </row>
    <row r="4391" spans="1:12" ht="18" customHeight="1" x14ac:dyDescent="0.15">
      <c r="A4391" s="11">
        <v>749</v>
      </c>
      <c r="B4391" s="11" t="s">
        <v>28</v>
      </c>
      <c r="C4391" s="11" t="s">
        <v>145</v>
      </c>
      <c r="D4391" s="11">
        <v>1</v>
      </c>
      <c r="E4391" s="11" t="s">
        <v>4</v>
      </c>
      <c r="F4391" s="12">
        <v>47510</v>
      </c>
      <c r="G4391" s="12">
        <v>47510</v>
      </c>
      <c r="H4391" s="11" t="str">
        <f t="shared" si="142"/>
        <v>平成6年9月22日</v>
      </c>
      <c r="I4391" s="22">
        <f t="shared" si="141"/>
        <v>34599</v>
      </c>
      <c r="J4391" s="1" t="str">
        <f>"00737869"</f>
        <v>00737869</v>
      </c>
      <c r="K4391" s="1" t="str">
        <f>"９８０　　　　　　　　　　　　　　　　　"</f>
        <v>９８０　　　　　　　　　　　　　　　　　</v>
      </c>
      <c r="L4391" s="1"/>
    </row>
    <row r="4392" spans="1:12" ht="18" customHeight="1" x14ac:dyDescent="0.15">
      <c r="A4392" s="11">
        <v>750</v>
      </c>
      <c r="B4392" s="11" t="s">
        <v>28</v>
      </c>
      <c r="C4392" s="11" t="s">
        <v>145</v>
      </c>
      <c r="D4392" s="11">
        <v>1</v>
      </c>
      <c r="E4392" s="11" t="s">
        <v>4</v>
      </c>
      <c r="F4392" s="12">
        <v>47510</v>
      </c>
      <c r="G4392" s="12">
        <v>47510</v>
      </c>
      <c r="H4392" s="11" t="str">
        <f t="shared" si="142"/>
        <v>平成6年9月22日</v>
      </c>
      <c r="I4392" s="22">
        <f t="shared" si="141"/>
        <v>34599</v>
      </c>
      <c r="J4392" s="1" t="str">
        <f>"00737871"</f>
        <v>00737871</v>
      </c>
      <c r="K4392" s="1" t="str">
        <f>"９８１　　　　　　　　　　　　　　　　　"</f>
        <v>９８１　　　　　　　　　　　　　　　　　</v>
      </c>
      <c r="L4392" s="1"/>
    </row>
    <row r="4393" spans="1:12" ht="18" customHeight="1" x14ac:dyDescent="0.15">
      <c r="A4393" s="11">
        <v>751</v>
      </c>
      <c r="B4393" s="11" t="s">
        <v>28</v>
      </c>
      <c r="C4393" s="11" t="s">
        <v>145</v>
      </c>
      <c r="D4393" s="11">
        <v>1</v>
      </c>
      <c r="E4393" s="11" t="s">
        <v>4</v>
      </c>
      <c r="F4393" s="12">
        <v>47510</v>
      </c>
      <c r="G4393" s="12">
        <v>47510</v>
      </c>
      <c r="H4393" s="11" t="str">
        <f t="shared" si="142"/>
        <v>平成6年9月22日</v>
      </c>
      <c r="I4393" s="22">
        <f t="shared" si="141"/>
        <v>34599</v>
      </c>
      <c r="J4393" s="1" t="str">
        <f>"00737873"</f>
        <v>00737873</v>
      </c>
      <c r="K4393" s="1" t="str">
        <f>"９８２　　　　　　　　　　　　　　　　　"</f>
        <v>９８２　　　　　　　　　　　　　　　　　</v>
      </c>
      <c r="L4393" s="1"/>
    </row>
    <row r="4394" spans="1:12" ht="18" customHeight="1" x14ac:dyDescent="0.15">
      <c r="A4394" s="11">
        <v>752</v>
      </c>
      <c r="B4394" s="11" t="s">
        <v>28</v>
      </c>
      <c r="C4394" s="11" t="s">
        <v>145</v>
      </c>
      <c r="D4394" s="11">
        <v>1</v>
      </c>
      <c r="E4394" s="11" t="s">
        <v>4</v>
      </c>
      <c r="F4394" s="12">
        <v>47510</v>
      </c>
      <c r="G4394" s="12">
        <v>47510</v>
      </c>
      <c r="H4394" s="11" t="str">
        <f t="shared" si="142"/>
        <v>平成6年9月22日</v>
      </c>
      <c r="I4394" s="22">
        <f t="shared" si="141"/>
        <v>34599</v>
      </c>
      <c r="J4394" s="1" t="str">
        <f>"00737875"</f>
        <v>00737875</v>
      </c>
      <c r="K4394" s="1" t="str">
        <f>"９８３　　　　　　　　　　　　　　　　　"</f>
        <v>９８３　　　　　　　　　　　　　　　　　</v>
      </c>
      <c r="L4394" s="1"/>
    </row>
    <row r="4395" spans="1:12" ht="18" customHeight="1" x14ac:dyDescent="0.15">
      <c r="A4395" s="11">
        <v>753</v>
      </c>
      <c r="B4395" s="11" t="s">
        <v>28</v>
      </c>
      <c r="C4395" s="11" t="s">
        <v>145</v>
      </c>
      <c r="D4395" s="11">
        <v>1</v>
      </c>
      <c r="E4395" s="11" t="s">
        <v>4</v>
      </c>
      <c r="F4395" s="12">
        <v>47510</v>
      </c>
      <c r="G4395" s="12">
        <v>47510</v>
      </c>
      <c r="H4395" s="11" t="str">
        <f t="shared" si="142"/>
        <v>平成6年9月22日</v>
      </c>
      <c r="I4395" s="22">
        <f t="shared" si="141"/>
        <v>34599</v>
      </c>
      <c r="J4395" s="1" t="str">
        <f>"00737877"</f>
        <v>00737877</v>
      </c>
      <c r="K4395" s="1" t="str">
        <f>"９８４　　　　　　　　　　　　　　　　　"</f>
        <v>９８４　　　　　　　　　　　　　　　　　</v>
      </c>
      <c r="L4395" s="1"/>
    </row>
    <row r="4396" spans="1:12" ht="18" customHeight="1" x14ac:dyDescent="0.15">
      <c r="A4396" s="11">
        <v>754</v>
      </c>
      <c r="B4396" s="11" t="s">
        <v>28</v>
      </c>
      <c r="C4396" s="11" t="s">
        <v>145</v>
      </c>
      <c r="D4396" s="11">
        <v>1</v>
      </c>
      <c r="E4396" s="11" t="s">
        <v>4</v>
      </c>
      <c r="F4396" s="12">
        <v>47510</v>
      </c>
      <c r="G4396" s="12">
        <v>47510</v>
      </c>
      <c r="H4396" s="11" t="str">
        <f t="shared" si="142"/>
        <v>平成6年9月22日</v>
      </c>
      <c r="I4396" s="22">
        <f t="shared" si="141"/>
        <v>34599</v>
      </c>
      <c r="J4396" s="1" t="str">
        <f>"00737879"</f>
        <v>00737879</v>
      </c>
      <c r="K4396" s="1" t="str">
        <f>"９８５　　　　　　　　　　　　　　　　　"</f>
        <v>９８５　　　　　　　　　　　　　　　　　</v>
      </c>
      <c r="L4396" s="1"/>
    </row>
    <row r="4397" spans="1:12" ht="18" customHeight="1" x14ac:dyDescent="0.15">
      <c r="A4397" s="11">
        <v>755</v>
      </c>
      <c r="B4397" s="11" t="s">
        <v>28</v>
      </c>
      <c r="C4397" s="11" t="s">
        <v>145</v>
      </c>
      <c r="D4397" s="11">
        <v>1</v>
      </c>
      <c r="E4397" s="11" t="s">
        <v>4</v>
      </c>
      <c r="F4397" s="12">
        <v>47510</v>
      </c>
      <c r="G4397" s="12">
        <v>47510</v>
      </c>
      <c r="H4397" s="11" t="str">
        <f t="shared" si="142"/>
        <v>平成6年9月22日</v>
      </c>
      <c r="I4397" s="22">
        <f t="shared" si="141"/>
        <v>34599</v>
      </c>
      <c r="J4397" s="1" t="str">
        <f>"00737881"</f>
        <v>00737881</v>
      </c>
      <c r="K4397" s="1" t="str">
        <f>"９８６　　　　　　　　　　　　　　　　　"</f>
        <v>９８６　　　　　　　　　　　　　　　　　</v>
      </c>
      <c r="L4397" s="1"/>
    </row>
    <row r="4398" spans="1:12" ht="18" customHeight="1" x14ac:dyDescent="0.15">
      <c r="A4398" s="11">
        <v>756</v>
      </c>
      <c r="B4398" s="11" t="s">
        <v>28</v>
      </c>
      <c r="C4398" s="11" t="s">
        <v>145</v>
      </c>
      <c r="D4398" s="11">
        <v>1</v>
      </c>
      <c r="E4398" s="11" t="s">
        <v>4</v>
      </c>
      <c r="F4398" s="12">
        <v>47510</v>
      </c>
      <c r="G4398" s="12">
        <v>47510</v>
      </c>
      <c r="H4398" s="11" t="str">
        <f t="shared" si="142"/>
        <v>平成6年9月22日</v>
      </c>
      <c r="I4398" s="22">
        <f t="shared" si="141"/>
        <v>34599</v>
      </c>
      <c r="J4398" s="1" t="str">
        <f>"00737883"</f>
        <v>00737883</v>
      </c>
      <c r="K4398" s="1" t="str">
        <f>"９８７　　　　　　　　　　　　　　　　　"</f>
        <v>９８７　　　　　　　　　　　　　　　　　</v>
      </c>
      <c r="L4398" s="1"/>
    </row>
    <row r="4399" spans="1:12" ht="18" customHeight="1" x14ac:dyDescent="0.15">
      <c r="A4399" s="11">
        <v>757</v>
      </c>
      <c r="B4399" s="11" t="s">
        <v>28</v>
      </c>
      <c r="C4399" s="11" t="s">
        <v>145</v>
      </c>
      <c r="D4399" s="11">
        <v>1</v>
      </c>
      <c r="E4399" s="11" t="s">
        <v>4</v>
      </c>
      <c r="F4399" s="12">
        <v>47510</v>
      </c>
      <c r="G4399" s="12">
        <v>47510</v>
      </c>
      <c r="H4399" s="11" t="str">
        <f t="shared" si="142"/>
        <v>平成6年9月22日</v>
      </c>
      <c r="I4399" s="22">
        <f t="shared" si="141"/>
        <v>34599</v>
      </c>
      <c r="J4399" s="1" t="str">
        <f>"00737885"</f>
        <v>00737885</v>
      </c>
      <c r="K4399" s="1" t="str">
        <f>"９８８　　　　　　　　　　　　　　　　　"</f>
        <v>９８８　　　　　　　　　　　　　　　　　</v>
      </c>
      <c r="L4399" s="1"/>
    </row>
    <row r="4400" spans="1:12" ht="18" customHeight="1" x14ac:dyDescent="0.15">
      <c r="A4400" s="11">
        <v>758</v>
      </c>
      <c r="B4400" s="11" t="s">
        <v>28</v>
      </c>
      <c r="C4400" s="11" t="s">
        <v>145</v>
      </c>
      <c r="D4400" s="11">
        <v>1</v>
      </c>
      <c r="E4400" s="11" t="s">
        <v>4</v>
      </c>
      <c r="F4400" s="12">
        <v>47510</v>
      </c>
      <c r="G4400" s="12">
        <v>47510</v>
      </c>
      <c r="H4400" s="11" t="str">
        <f t="shared" si="142"/>
        <v>平成6年9月22日</v>
      </c>
      <c r="I4400" s="22">
        <f t="shared" si="141"/>
        <v>34599</v>
      </c>
      <c r="J4400" s="1" t="str">
        <f>"00737887"</f>
        <v>00737887</v>
      </c>
      <c r="K4400" s="1" t="str">
        <f>"９８９　　　　　　　　　　　　　　　　　"</f>
        <v>９８９　　　　　　　　　　　　　　　　　</v>
      </c>
      <c r="L4400" s="1"/>
    </row>
    <row r="4401" spans="1:12" ht="18" customHeight="1" x14ac:dyDescent="0.15">
      <c r="A4401" s="11">
        <v>759</v>
      </c>
      <c r="B4401" s="11" t="s">
        <v>28</v>
      </c>
      <c r="C4401" s="11" t="s">
        <v>145</v>
      </c>
      <c r="D4401" s="11">
        <v>1</v>
      </c>
      <c r="E4401" s="11" t="s">
        <v>4</v>
      </c>
      <c r="F4401" s="12">
        <v>47510</v>
      </c>
      <c r="G4401" s="12">
        <v>47510</v>
      </c>
      <c r="H4401" s="11" t="str">
        <f t="shared" si="142"/>
        <v>平成6年9月22日</v>
      </c>
      <c r="I4401" s="22">
        <f t="shared" si="141"/>
        <v>34599</v>
      </c>
      <c r="J4401" s="1" t="str">
        <f>"00737889"</f>
        <v>00737889</v>
      </c>
      <c r="K4401" s="1" t="str">
        <f>"９９０　　　　　　　　　　　　　　　　　"</f>
        <v>９９０　　　　　　　　　　　　　　　　　</v>
      </c>
      <c r="L4401" s="1"/>
    </row>
    <row r="4402" spans="1:12" ht="18" customHeight="1" x14ac:dyDescent="0.15">
      <c r="A4402" s="11">
        <v>760</v>
      </c>
      <c r="B4402" s="11" t="s">
        <v>28</v>
      </c>
      <c r="C4402" s="11" t="s">
        <v>145</v>
      </c>
      <c r="D4402" s="11">
        <v>1</v>
      </c>
      <c r="E4402" s="11" t="s">
        <v>4</v>
      </c>
      <c r="F4402" s="12">
        <v>47510</v>
      </c>
      <c r="G4402" s="12">
        <v>47510</v>
      </c>
      <c r="H4402" s="11" t="str">
        <f t="shared" si="142"/>
        <v>平成6年9月22日</v>
      </c>
      <c r="I4402" s="22">
        <f t="shared" si="141"/>
        <v>34599</v>
      </c>
      <c r="J4402" s="1" t="str">
        <f>"00737891"</f>
        <v>00737891</v>
      </c>
      <c r="K4402" s="1" t="str">
        <f>"９９１　　　　　　　　　　　　　　　　　"</f>
        <v>９９１　　　　　　　　　　　　　　　　　</v>
      </c>
      <c r="L4402" s="1"/>
    </row>
    <row r="4403" spans="1:12" ht="18" customHeight="1" x14ac:dyDescent="0.15">
      <c r="A4403" s="11">
        <v>761</v>
      </c>
      <c r="B4403" s="11" t="s">
        <v>28</v>
      </c>
      <c r="C4403" s="11" t="s">
        <v>145</v>
      </c>
      <c r="D4403" s="11">
        <v>1</v>
      </c>
      <c r="E4403" s="11" t="s">
        <v>4</v>
      </c>
      <c r="F4403" s="12">
        <v>47510</v>
      </c>
      <c r="G4403" s="12">
        <v>47510</v>
      </c>
      <c r="H4403" s="11" t="str">
        <f t="shared" si="142"/>
        <v>平成6年9月22日</v>
      </c>
      <c r="I4403" s="22">
        <f t="shared" si="141"/>
        <v>34599</v>
      </c>
      <c r="J4403" s="1" t="str">
        <f>"00737893"</f>
        <v>00737893</v>
      </c>
      <c r="K4403" s="1" t="str">
        <f>"９９２　　　　　　　　　　　　　　　　　"</f>
        <v>９９２　　　　　　　　　　　　　　　　　</v>
      </c>
      <c r="L4403" s="1"/>
    </row>
    <row r="4404" spans="1:12" ht="18" customHeight="1" x14ac:dyDescent="0.15">
      <c r="A4404" s="11">
        <v>762</v>
      </c>
      <c r="B4404" s="11" t="s">
        <v>28</v>
      </c>
      <c r="C4404" s="11" t="s">
        <v>145</v>
      </c>
      <c r="D4404" s="11">
        <v>1</v>
      </c>
      <c r="E4404" s="11" t="s">
        <v>4</v>
      </c>
      <c r="F4404" s="12">
        <v>47510</v>
      </c>
      <c r="G4404" s="12">
        <v>47510</v>
      </c>
      <c r="H4404" s="11" t="str">
        <f t="shared" si="142"/>
        <v>平成6年9月22日</v>
      </c>
      <c r="I4404" s="22">
        <f t="shared" si="141"/>
        <v>34599</v>
      </c>
      <c r="J4404" s="1" t="str">
        <f>"00737895"</f>
        <v>00737895</v>
      </c>
      <c r="K4404" s="1" t="str">
        <f>"９９３　　　　　　　　　　　　　　　　　"</f>
        <v>９９３　　　　　　　　　　　　　　　　　</v>
      </c>
      <c r="L4404" s="1"/>
    </row>
    <row r="4405" spans="1:12" ht="18" customHeight="1" x14ac:dyDescent="0.15">
      <c r="A4405" s="11">
        <v>763</v>
      </c>
      <c r="B4405" s="11" t="s">
        <v>28</v>
      </c>
      <c r="C4405" s="11" t="s">
        <v>145</v>
      </c>
      <c r="D4405" s="11">
        <v>1</v>
      </c>
      <c r="E4405" s="11" t="s">
        <v>4</v>
      </c>
      <c r="F4405" s="12">
        <v>47510</v>
      </c>
      <c r="G4405" s="12">
        <v>47510</v>
      </c>
      <c r="H4405" s="11" t="str">
        <f t="shared" si="142"/>
        <v>平成6年9月22日</v>
      </c>
      <c r="I4405" s="22">
        <f t="shared" si="141"/>
        <v>34599</v>
      </c>
      <c r="J4405" s="1" t="str">
        <f>"00737897"</f>
        <v>00737897</v>
      </c>
      <c r="K4405" s="1" t="str">
        <f>"９９４　　　　　　　　　　　　　　　　　"</f>
        <v>９９４　　　　　　　　　　　　　　　　　</v>
      </c>
      <c r="L4405" s="1"/>
    </row>
    <row r="4406" spans="1:12" ht="18" customHeight="1" x14ac:dyDescent="0.15">
      <c r="A4406" s="11">
        <v>764</v>
      </c>
      <c r="B4406" s="11" t="s">
        <v>28</v>
      </c>
      <c r="C4406" s="11" t="s">
        <v>145</v>
      </c>
      <c r="D4406" s="11">
        <v>1</v>
      </c>
      <c r="E4406" s="11" t="s">
        <v>4</v>
      </c>
      <c r="F4406" s="12">
        <v>47510</v>
      </c>
      <c r="G4406" s="12">
        <v>47510</v>
      </c>
      <c r="H4406" s="11" t="str">
        <f t="shared" si="142"/>
        <v>平成6年9月22日</v>
      </c>
      <c r="I4406" s="22">
        <f t="shared" si="141"/>
        <v>34599</v>
      </c>
      <c r="J4406" s="1" t="str">
        <f>"00737899"</f>
        <v>00737899</v>
      </c>
      <c r="K4406" s="1" t="str">
        <f>"９９５　　　　　　　　　　　　　　　　　"</f>
        <v>９９５　　　　　　　　　　　　　　　　　</v>
      </c>
      <c r="L4406" s="1"/>
    </row>
    <row r="4407" spans="1:12" ht="18" customHeight="1" x14ac:dyDescent="0.15">
      <c r="A4407" s="11">
        <v>765</v>
      </c>
      <c r="B4407" s="11" t="s">
        <v>28</v>
      </c>
      <c r="C4407" s="11" t="s">
        <v>145</v>
      </c>
      <c r="D4407" s="11">
        <v>1</v>
      </c>
      <c r="E4407" s="11" t="s">
        <v>4</v>
      </c>
      <c r="F4407" s="12">
        <v>47510</v>
      </c>
      <c r="G4407" s="12">
        <v>47510</v>
      </c>
      <c r="H4407" s="11" t="str">
        <f t="shared" si="142"/>
        <v>平成6年9月22日</v>
      </c>
      <c r="I4407" s="22">
        <f t="shared" si="141"/>
        <v>34599</v>
      </c>
      <c r="J4407" s="1" t="str">
        <f>"00737901"</f>
        <v>00737901</v>
      </c>
      <c r="K4407" s="1" t="str">
        <f>"９９６　　　　　　　　　　　　　　　　　"</f>
        <v>９９６　　　　　　　　　　　　　　　　　</v>
      </c>
      <c r="L4407" s="1"/>
    </row>
    <row r="4408" spans="1:12" ht="18" customHeight="1" x14ac:dyDescent="0.15">
      <c r="A4408" s="11">
        <v>766</v>
      </c>
      <c r="B4408" s="11" t="s">
        <v>28</v>
      </c>
      <c r="C4408" s="11" t="s">
        <v>145</v>
      </c>
      <c r="D4408" s="11">
        <v>1</v>
      </c>
      <c r="E4408" s="11" t="s">
        <v>4</v>
      </c>
      <c r="F4408" s="12">
        <v>47510</v>
      </c>
      <c r="G4408" s="12">
        <v>47510</v>
      </c>
      <c r="H4408" s="11" t="str">
        <f t="shared" si="142"/>
        <v>平成6年9月22日</v>
      </c>
      <c r="I4408" s="22">
        <f t="shared" si="141"/>
        <v>34599</v>
      </c>
      <c r="J4408" s="1" t="str">
        <f>"00737903"</f>
        <v>00737903</v>
      </c>
      <c r="K4408" s="1" t="str">
        <f>"９９７　　　　　　　　　　　　　　　　　"</f>
        <v>９９７　　　　　　　　　　　　　　　　　</v>
      </c>
      <c r="L4408" s="1"/>
    </row>
    <row r="4409" spans="1:12" ht="18" customHeight="1" x14ac:dyDescent="0.15">
      <c r="A4409" s="11">
        <v>767</v>
      </c>
      <c r="B4409" s="11" t="s">
        <v>28</v>
      </c>
      <c r="C4409" s="11" t="s">
        <v>145</v>
      </c>
      <c r="D4409" s="11">
        <v>1</v>
      </c>
      <c r="E4409" s="11" t="s">
        <v>4</v>
      </c>
      <c r="F4409" s="12">
        <v>47510</v>
      </c>
      <c r="G4409" s="12">
        <v>47510</v>
      </c>
      <c r="H4409" s="11" t="str">
        <f t="shared" si="142"/>
        <v>平成6年9月22日</v>
      </c>
      <c r="I4409" s="22">
        <f t="shared" si="141"/>
        <v>34599</v>
      </c>
      <c r="J4409" s="1" t="str">
        <f>"00737905"</f>
        <v>00737905</v>
      </c>
      <c r="K4409" s="1" t="str">
        <f>"９９８　　　　　　　　　　　　　　　　　"</f>
        <v>９９８　　　　　　　　　　　　　　　　　</v>
      </c>
      <c r="L4409" s="1"/>
    </row>
    <row r="4410" spans="1:12" ht="18" customHeight="1" x14ac:dyDescent="0.15">
      <c r="A4410" s="11">
        <v>768</v>
      </c>
      <c r="B4410" s="11" t="s">
        <v>28</v>
      </c>
      <c r="C4410" s="11" t="s">
        <v>145</v>
      </c>
      <c r="D4410" s="11">
        <v>1</v>
      </c>
      <c r="E4410" s="11" t="s">
        <v>4</v>
      </c>
      <c r="F4410" s="12">
        <v>47510</v>
      </c>
      <c r="G4410" s="12">
        <v>47510</v>
      </c>
      <c r="H4410" s="11" t="str">
        <f t="shared" si="142"/>
        <v>平成6年9月22日</v>
      </c>
      <c r="I4410" s="22">
        <f t="shared" si="141"/>
        <v>34599</v>
      </c>
      <c r="J4410" s="1" t="str">
        <f>"00737907"</f>
        <v>00737907</v>
      </c>
      <c r="K4410" s="1" t="str">
        <f>"９９９　　　　　　　　　　　　　　　　　"</f>
        <v>９９９　　　　　　　　　　　　　　　　　</v>
      </c>
      <c r="L4410" s="1"/>
    </row>
    <row r="4411" spans="1:12" ht="18" customHeight="1" x14ac:dyDescent="0.15">
      <c r="A4411" s="11">
        <v>769</v>
      </c>
      <c r="B4411" s="11" t="s">
        <v>28</v>
      </c>
      <c r="C4411" s="11" t="s">
        <v>145</v>
      </c>
      <c r="D4411" s="11">
        <v>1</v>
      </c>
      <c r="E4411" s="11" t="s">
        <v>4</v>
      </c>
      <c r="F4411" s="12">
        <v>47510</v>
      </c>
      <c r="G4411" s="12">
        <v>47510</v>
      </c>
      <c r="H4411" s="11" t="str">
        <f t="shared" si="142"/>
        <v>平成6年9月22日</v>
      </c>
      <c r="I4411" s="22">
        <f t="shared" si="141"/>
        <v>34599</v>
      </c>
      <c r="J4411" s="1" t="str">
        <f>"00737909"</f>
        <v>00737909</v>
      </c>
      <c r="K4411" s="1" t="str">
        <f>"１０００　　　　　　　　　　　　　　　　"</f>
        <v>１０００　　　　　　　　　　　　　　　　</v>
      </c>
      <c r="L4411" s="1"/>
    </row>
    <row r="4412" spans="1:12" ht="18" customHeight="1" x14ac:dyDescent="0.15">
      <c r="A4412" s="11">
        <v>770</v>
      </c>
      <c r="B4412" s="11" t="s">
        <v>28</v>
      </c>
      <c r="C4412" s="11" t="s">
        <v>145</v>
      </c>
      <c r="D4412" s="11">
        <v>1</v>
      </c>
      <c r="E4412" s="11" t="s">
        <v>4</v>
      </c>
      <c r="F4412" s="12">
        <v>47510</v>
      </c>
      <c r="G4412" s="12">
        <v>47510</v>
      </c>
      <c r="H4412" s="11" t="str">
        <f t="shared" si="142"/>
        <v>平成6年9月22日</v>
      </c>
      <c r="I4412" s="22">
        <f t="shared" si="141"/>
        <v>34599</v>
      </c>
      <c r="J4412" s="1" t="str">
        <f>"00737911"</f>
        <v>00737911</v>
      </c>
      <c r="K4412" s="1" t="str">
        <f>"１００１　　　　　　　　　　　　　　　　"</f>
        <v>１００１　　　　　　　　　　　　　　　　</v>
      </c>
      <c r="L4412" s="1"/>
    </row>
    <row r="4413" spans="1:12" ht="18" customHeight="1" x14ac:dyDescent="0.15">
      <c r="A4413" s="11">
        <v>771</v>
      </c>
      <c r="B4413" s="11" t="s">
        <v>28</v>
      </c>
      <c r="C4413" s="11" t="s">
        <v>145</v>
      </c>
      <c r="D4413" s="11">
        <v>1</v>
      </c>
      <c r="E4413" s="11" t="s">
        <v>4</v>
      </c>
      <c r="F4413" s="12">
        <v>47510</v>
      </c>
      <c r="G4413" s="12">
        <v>47510</v>
      </c>
      <c r="H4413" s="11" t="str">
        <f t="shared" si="142"/>
        <v>平成6年9月22日</v>
      </c>
      <c r="I4413" s="22">
        <f t="shared" si="141"/>
        <v>34599</v>
      </c>
      <c r="J4413" s="1" t="str">
        <f>"00737913"</f>
        <v>00737913</v>
      </c>
      <c r="K4413" s="1" t="str">
        <f>"１００２　　　　　　　　　　　　　　　　"</f>
        <v>１００２　　　　　　　　　　　　　　　　</v>
      </c>
      <c r="L4413" s="1"/>
    </row>
    <row r="4414" spans="1:12" ht="18" customHeight="1" x14ac:dyDescent="0.15">
      <c r="A4414" s="11">
        <v>772</v>
      </c>
      <c r="B4414" s="11" t="s">
        <v>28</v>
      </c>
      <c r="C4414" s="11" t="s">
        <v>145</v>
      </c>
      <c r="D4414" s="11">
        <v>1</v>
      </c>
      <c r="E4414" s="11" t="s">
        <v>4</v>
      </c>
      <c r="F4414" s="12">
        <v>47510</v>
      </c>
      <c r="G4414" s="12">
        <v>47510</v>
      </c>
      <c r="H4414" s="11" t="str">
        <f t="shared" si="142"/>
        <v>平成6年9月22日</v>
      </c>
      <c r="I4414" s="22">
        <f t="shared" si="141"/>
        <v>34599</v>
      </c>
      <c r="J4414" s="1" t="str">
        <f>"00737914"</f>
        <v>00737914</v>
      </c>
      <c r="K4414" s="1" t="str">
        <f>"１００３　　　　　　　　　　　　　　　　"</f>
        <v>１００３　　　　　　　　　　　　　　　　</v>
      </c>
      <c r="L4414" s="1"/>
    </row>
    <row r="4415" spans="1:12" ht="18" customHeight="1" x14ac:dyDescent="0.15">
      <c r="A4415" s="11">
        <v>773</v>
      </c>
      <c r="B4415" s="11" t="s">
        <v>28</v>
      </c>
      <c r="C4415" s="11" t="s">
        <v>145</v>
      </c>
      <c r="D4415" s="11">
        <v>1</v>
      </c>
      <c r="E4415" s="11" t="s">
        <v>4</v>
      </c>
      <c r="F4415" s="12">
        <v>47510</v>
      </c>
      <c r="G4415" s="12">
        <v>47510</v>
      </c>
      <c r="H4415" s="11" t="str">
        <f t="shared" si="142"/>
        <v>平成6年9月22日</v>
      </c>
      <c r="I4415" s="22">
        <f t="shared" si="141"/>
        <v>34599</v>
      </c>
      <c r="J4415" s="1" t="str">
        <f>"00737916"</f>
        <v>00737916</v>
      </c>
      <c r="K4415" s="1" t="str">
        <f>"１００４　　　　　　　　　　　　　　　　"</f>
        <v>１００４　　　　　　　　　　　　　　　　</v>
      </c>
      <c r="L4415" s="1"/>
    </row>
    <row r="4416" spans="1:12" ht="18" customHeight="1" x14ac:dyDescent="0.15">
      <c r="A4416" s="11">
        <v>774</v>
      </c>
      <c r="B4416" s="11" t="s">
        <v>28</v>
      </c>
      <c r="C4416" s="11" t="s">
        <v>145</v>
      </c>
      <c r="D4416" s="11">
        <v>1</v>
      </c>
      <c r="E4416" s="11" t="s">
        <v>4</v>
      </c>
      <c r="F4416" s="12">
        <v>47510</v>
      </c>
      <c r="G4416" s="12">
        <v>47510</v>
      </c>
      <c r="H4416" s="11" t="str">
        <f t="shared" si="142"/>
        <v>平成6年9月22日</v>
      </c>
      <c r="I4416" s="22">
        <f t="shared" si="141"/>
        <v>34599</v>
      </c>
      <c r="J4416" s="1" t="str">
        <f>"00737918"</f>
        <v>00737918</v>
      </c>
      <c r="K4416" s="1" t="str">
        <f>"１００５　　　　　　　　　　　　　　　　"</f>
        <v>１００５　　　　　　　　　　　　　　　　</v>
      </c>
      <c r="L4416" s="1"/>
    </row>
    <row r="4417" spans="1:12" ht="18" customHeight="1" x14ac:dyDescent="0.15">
      <c r="A4417" s="11">
        <v>775</v>
      </c>
      <c r="B4417" s="11" t="s">
        <v>28</v>
      </c>
      <c r="C4417" s="11" t="s">
        <v>145</v>
      </c>
      <c r="D4417" s="11">
        <v>1</v>
      </c>
      <c r="E4417" s="11" t="s">
        <v>4</v>
      </c>
      <c r="F4417" s="12">
        <v>47510</v>
      </c>
      <c r="G4417" s="12">
        <v>47510</v>
      </c>
      <c r="H4417" s="11" t="str">
        <f t="shared" si="142"/>
        <v>平成6年9月22日</v>
      </c>
      <c r="I4417" s="22">
        <f t="shared" si="141"/>
        <v>34599</v>
      </c>
      <c r="J4417" s="1" t="str">
        <f>"00737920"</f>
        <v>00737920</v>
      </c>
      <c r="K4417" s="1" t="str">
        <f>"１００６　　　　　　　　　　　　　　　　"</f>
        <v>１００６　　　　　　　　　　　　　　　　</v>
      </c>
      <c r="L4417" s="1"/>
    </row>
    <row r="4418" spans="1:12" ht="18" customHeight="1" x14ac:dyDescent="0.15">
      <c r="A4418" s="11">
        <v>776</v>
      </c>
      <c r="B4418" s="11" t="s">
        <v>28</v>
      </c>
      <c r="C4418" s="11" t="s">
        <v>145</v>
      </c>
      <c r="D4418" s="11">
        <v>1</v>
      </c>
      <c r="E4418" s="11" t="s">
        <v>4</v>
      </c>
      <c r="F4418" s="12">
        <v>47510</v>
      </c>
      <c r="G4418" s="12">
        <v>47510</v>
      </c>
      <c r="H4418" s="11" t="str">
        <f t="shared" si="142"/>
        <v>平成6年9月22日</v>
      </c>
      <c r="I4418" s="22">
        <f t="shared" si="141"/>
        <v>34599</v>
      </c>
      <c r="J4418" s="1" t="str">
        <f>"00737922"</f>
        <v>00737922</v>
      </c>
      <c r="K4418" s="1" t="str">
        <f>"１００７　　　　　　　　　　　　　　　　"</f>
        <v>１００７　　　　　　　　　　　　　　　　</v>
      </c>
      <c r="L4418" s="1"/>
    </row>
    <row r="4419" spans="1:12" ht="18" customHeight="1" x14ac:dyDescent="0.15">
      <c r="A4419" s="11">
        <v>777</v>
      </c>
      <c r="B4419" s="11" t="s">
        <v>28</v>
      </c>
      <c r="C4419" s="11" t="s">
        <v>145</v>
      </c>
      <c r="D4419" s="11">
        <v>1</v>
      </c>
      <c r="E4419" s="11" t="s">
        <v>4</v>
      </c>
      <c r="F4419" s="12">
        <v>47510</v>
      </c>
      <c r="G4419" s="12">
        <v>47510</v>
      </c>
      <c r="H4419" s="11" t="str">
        <f t="shared" si="142"/>
        <v>平成6年9月22日</v>
      </c>
      <c r="I4419" s="22">
        <f t="shared" si="141"/>
        <v>34599</v>
      </c>
      <c r="J4419" s="1" t="str">
        <f>"00737924"</f>
        <v>00737924</v>
      </c>
      <c r="K4419" s="1" t="str">
        <f>"１００８　　　　　　　　　　　　　　　　"</f>
        <v>１００８　　　　　　　　　　　　　　　　</v>
      </c>
      <c r="L4419" s="1"/>
    </row>
    <row r="4420" spans="1:12" ht="18" customHeight="1" x14ac:dyDescent="0.15">
      <c r="A4420" s="11">
        <v>778</v>
      </c>
      <c r="B4420" s="11" t="s">
        <v>28</v>
      </c>
      <c r="C4420" s="11" t="s">
        <v>145</v>
      </c>
      <c r="D4420" s="11">
        <v>1</v>
      </c>
      <c r="E4420" s="11" t="s">
        <v>4</v>
      </c>
      <c r="F4420" s="12">
        <v>47510</v>
      </c>
      <c r="G4420" s="12">
        <v>47510</v>
      </c>
      <c r="H4420" s="11" t="str">
        <f t="shared" si="142"/>
        <v>平成6年9月22日</v>
      </c>
      <c r="I4420" s="22">
        <f t="shared" si="141"/>
        <v>34599</v>
      </c>
      <c r="J4420" s="1" t="str">
        <f>"00737926"</f>
        <v>00737926</v>
      </c>
      <c r="K4420" s="1" t="str">
        <f>"１００９　　　　　　　　　　　　　　　　"</f>
        <v>１００９　　　　　　　　　　　　　　　　</v>
      </c>
      <c r="L4420" s="1"/>
    </row>
    <row r="4421" spans="1:12" ht="18" customHeight="1" x14ac:dyDescent="0.15">
      <c r="A4421" s="11">
        <v>779</v>
      </c>
      <c r="B4421" s="11" t="s">
        <v>28</v>
      </c>
      <c r="C4421" s="11" t="s">
        <v>145</v>
      </c>
      <c r="D4421" s="11">
        <v>1</v>
      </c>
      <c r="E4421" s="11" t="s">
        <v>4</v>
      </c>
      <c r="F4421" s="12">
        <v>47510</v>
      </c>
      <c r="G4421" s="12">
        <v>47510</v>
      </c>
      <c r="H4421" s="11" t="str">
        <f t="shared" si="142"/>
        <v>平成6年9月22日</v>
      </c>
      <c r="I4421" s="22">
        <f t="shared" si="141"/>
        <v>34599</v>
      </c>
      <c r="J4421" s="1" t="str">
        <f>"00737928"</f>
        <v>00737928</v>
      </c>
      <c r="K4421" s="1" t="str">
        <f>"１０１０　　　　　　　　　　　　　　　　"</f>
        <v>１０１０　　　　　　　　　　　　　　　　</v>
      </c>
      <c r="L4421" s="1"/>
    </row>
    <row r="4422" spans="1:12" ht="18" customHeight="1" x14ac:dyDescent="0.15">
      <c r="A4422" s="11">
        <v>780</v>
      </c>
      <c r="B4422" s="11" t="s">
        <v>28</v>
      </c>
      <c r="C4422" s="11" t="s">
        <v>145</v>
      </c>
      <c r="D4422" s="11">
        <v>1</v>
      </c>
      <c r="E4422" s="11" t="s">
        <v>4</v>
      </c>
      <c r="F4422" s="12">
        <v>47510</v>
      </c>
      <c r="G4422" s="12">
        <v>47510</v>
      </c>
      <c r="H4422" s="11" t="str">
        <f t="shared" si="142"/>
        <v>平成6年9月22日</v>
      </c>
      <c r="I4422" s="22">
        <f t="shared" si="141"/>
        <v>34599</v>
      </c>
      <c r="J4422" s="1" t="str">
        <f>"00737930"</f>
        <v>00737930</v>
      </c>
      <c r="K4422" s="1" t="str">
        <f>"１０１１　　　　　　　　　　　　　　　　"</f>
        <v>１０１１　　　　　　　　　　　　　　　　</v>
      </c>
      <c r="L4422" s="1"/>
    </row>
    <row r="4423" spans="1:12" ht="18" customHeight="1" x14ac:dyDescent="0.15">
      <c r="A4423" s="11">
        <v>781</v>
      </c>
      <c r="B4423" s="11" t="s">
        <v>28</v>
      </c>
      <c r="C4423" s="11" t="s">
        <v>145</v>
      </c>
      <c r="D4423" s="11">
        <v>1</v>
      </c>
      <c r="E4423" s="11" t="s">
        <v>4</v>
      </c>
      <c r="F4423" s="12">
        <v>47510</v>
      </c>
      <c r="G4423" s="12">
        <v>47510</v>
      </c>
      <c r="H4423" s="11" t="str">
        <f t="shared" si="142"/>
        <v>平成6年9月22日</v>
      </c>
      <c r="I4423" s="22">
        <f t="shared" si="141"/>
        <v>34599</v>
      </c>
      <c r="J4423" s="1" t="str">
        <f>"00737933"</f>
        <v>00737933</v>
      </c>
      <c r="K4423" s="1" t="str">
        <f>"１０１２　　　　　　　　　　　　　　　　"</f>
        <v>１０１２　　　　　　　　　　　　　　　　</v>
      </c>
      <c r="L4423" s="1"/>
    </row>
    <row r="4424" spans="1:12" ht="18" customHeight="1" x14ac:dyDescent="0.15">
      <c r="A4424" s="11">
        <v>782</v>
      </c>
      <c r="B4424" s="11" t="s">
        <v>28</v>
      </c>
      <c r="C4424" s="11" t="s">
        <v>145</v>
      </c>
      <c r="D4424" s="11">
        <v>1</v>
      </c>
      <c r="E4424" s="11" t="s">
        <v>4</v>
      </c>
      <c r="F4424" s="12">
        <v>47510</v>
      </c>
      <c r="G4424" s="12">
        <v>47510</v>
      </c>
      <c r="H4424" s="11" t="str">
        <f t="shared" si="142"/>
        <v>平成6年9月22日</v>
      </c>
      <c r="I4424" s="22">
        <f t="shared" si="141"/>
        <v>34599</v>
      </c>
      <c r="J4424" s="1" t="str">
        <f>"00737935"</f>
        <v>00737935</v>
      </c>
      <c r="K4424" s="1" t="str">
        <f>"１０１３　　　　　　　　　　　　　　　　"</f>
        <v>１０１３　　　　　　　　　　　　　　　　</v>
      </c>
      <c r="L4424" s="1"/>
    </row>
    <row r="4425" spans="1:12" ht="18" customHeight="1" x14ac:dyDescent="0.15">
      <c r="A4425" s="11">
        <v>783</v>
      </c>
      <c r="B4425" s="11" t="s">
        <v>28</v>
      </c>
      <c r="C4425" s="11" t="s">
        <v>145</v>
      </c>
      <c r="D4425" s="11">
        <v>1</v>
      </c>
      <c r="E4425" s="11" t="s">
        <v>4</v>
      </c>
      <c r="F4425" s="12">
        <v>47510</v>
      </c>
      <c r="G4425" s="12">
        <v>47510</v>
      </c>
      <c r="H4425" s="11" t="str">
        <f t="shared" si="142"/>
        <v>平成6年9月22日</v>
      </c>
      <c r="I4425" s="22">
        <f t="shared" si="141"/>
        <v>34599</v>
      </c>
      <c r="J4425" s="1" t="str">
        <f>"00737937"</f>
        <v>00737937</v>
      </c>
      <c r="K4425" s="1" t="str">
        <f>"１０１４　　　　　　　　　　　　　　　　"</f>
        <v>１０１４　　　　　　　　　　　　　　　　</v>
      </c>
      <c r="L4425" s="1"/>
    </row>
    <row r="4426" spans="1:12" ht="18" customHeight="1" x14ac:dyDescent="0.15">
      <c r="A4426" s="11">
        <v>784</v>
      </c>
      <c r="B4426" s="11" t="s">
        <v>28</v>
      </c>
      <c r="C4426" s="11" t="s">
        <v>145</v>
      </c>
      <c r="D4426" s="11">
        <v>1</v>
      </c>
      <c r="E4426" s="11" t="s">
        <v>4</v>
      </c>
      <c r="F4426" s="12">
        <v>47510</v>
      </c>
      <c r="G4426" s="12">
        <v>47510</v>
      </c>
      <c r="H4426" s="11" t="str">
        <f t="shared" si="142"/>
        <v>平成6年9月22日</v>
      </c>
      <c r="I4426" s="22">
        <f t="shared" si="141"/>
        <v>34599</v>
      </c>
      <c r="J4426" s="1" t="str">
        <f>"00737939"</f>
        <v>00737939</v>
      </c>
      <c r="K4426" s="1" t="str">
        <f>"１０１５　　　　　　　　　　　　　　　　"</f>
        <v>１０１５　　　　　　　　　　　　　　　　</v>
      </c>
      <c r="L4426" s="1"/>
    </row>
    <row r="4427" spans="1:12" ht="18" customHeight="1" x14ac:dyDescent="0.15">
      <c r="A4427" s="11">
        <v>785</v>
      </c>
      <c r="B4427" s="11" t="s">
        <v>28</v>
      </c>
      <c r="C4427" s="11" t="s">
        <v>145</v>
      </c>
      <c r="D4427" s="11">
        <v>1</v>
      </c>
      <c r="E4427" s="11" t="s">
        <v>4</v>
      </c>
      <c r="F4427" s="12">
        <v>47510</v>
      </c>
      <c r="G4427" s="12">
        <v>47510</v>
      </c>
      <c r="H4427" s="11" t="str">
        <f t="shared" si="142"/>
        <v>平成6年9月22日</v>
      </c>
      <c r="I4427" s="22">
        <f t="shared" si="141"/>
        <v>34599</v>
      </c>
      <c r="J4427" s="1" t="str">
        <f>"00737941"</f>
        <v>00737941</v>
      </c>
      <c r="K4427" s="1" t="str">
        <f>"１０１６　　　　　　　　　　　　　　　　"</f>
        <v>１０１６　　　　　　　　　　　　　　　　</v>
      </c>
      <c r="L4427" s="1"/>
    </row>
    <row r="4428" spans="1:12" ht="18" customHeight="1" x14ac:dyDescent="0.15">
      <c r="A4428" s="11">
        <v>786</v>
      </c>
      <c r="B4428" s="11" t="s">
        <v>28</v>
      </c>
      <c r="C4428" s="11" t="s">
        <v>145</v>
      </c>
      <c r="D4428" s="11">
        <v>1</v>
      </c>
      <c r="E4428" s="11" t="s">
        <v>4</v>
      </c>
      <c r="F4428" s="12">
        <v>47510</v>
      </c>
      <c r="G4428" s="12">
        <v>47510</v>
      </c>
      <c r="H4428" s="11" t="str">
        <f t="shared" si="142"/>
        <v>平成6年9月22日</v>
      </c>
      <c r="I4428" s="22">
        <f t="shared" si="141"/>
        <v>34599</v>
      </c>
      <c r="J4428" s="1" t="str">
        <f>"00737943"</f>
        <v>00737943</v>
      </c>
      <c r="K4428" s="1" t="str">
        <f>"１０１７　　　　　　　　　　　　　　　　"</f>
        <v>１０１７　　　　　　　　　　　　　　　　</v>
      </c>
      <c r="L4428" s="1"/>
    </row>
    <row r="4429" spans="1:12" ht="18" customHeight="1" x14ac:dyDescent="0.15">
      <c r="A4429" s="11">
        <v>787</v>
      </c>
      <c r="B4429" s="11" t="s">
        <v>28</v>
      </c>
      <c r="C4429" s="11" t="s">
        <v>145</v>
      </c>
      <c r="D4429" s="11">
        <v>1</v>
      </c>
      <c r="E4429" s="11" t="s">
        <v>4</v>
      </c>
      <c r="F4429" s="12">
        <v>47510</v>
      </c>
      <c r="G4429" s="12">
        <v>47510</v>
      </c>
      <c r="H4429" s="11" t="str">
        <f t="shared" si="142"/>
        <v>平成6年9月22日</v>
      </c>
      <c r="I4429" s="22">
        <f t="shared" si="141"/>
        <v>34599</v>
      </c>
      <c r="J4429" s="1" t="str">
        <f>"00737945"</f>
        <v>00737945</v>
      </c>
      <c r="K4429" s="1" t="str">
        <f>"１０１８　　　　　　　　　　　　　　　　"</f>
        <v>１０１８　　　　　　　　　　　　　　　　</v>
      </c>
      <c r="L4429" s="1"/>
    </row>
    <row r="4430" spans="1:12" ht="18" customHeight="1" x14ac:dyDescent="0.15">
      <c r="A4430" s="11">
        <v>788</v>
      </c>
      <c r="B4430" s="11" t="s">
        <v>28</v>
      </c>
      <c r="C4430" s="11" t="s">
        <v>145</v>
      </c>
      <c r="D4430" s="11">
        <v>1</v>
      </c>
      <c r="E4430" s="11" t="s">
        <v>4</v>
      </c>
      <c r="F4430" s="12">
        <v>47510</v>
      </c>
      <c r="G4430" s="12">
        <v>47510</v>
      </c>
      <c r="H4430" s="11" t="str">
        <f t="shared" si="142"/>
        <v>平成6年9月22日</v>
      </c>
      <c r="I4430" s="22">
        <f t="shared" si="141"/>
        <v>34599</v>
      </c>
      <c r="J4430" s="1" t="str">
        <f>"00737947"</f>
        <v>00737947</v>
      </c>
      <c r="K4430" s="1" t="str">
        <f>"１０１９　　　　　　　　　　　　　　　　"</f>
        <v>１０１９　　　　　　　　　　　　　　　　</v>
      </c>
      <c r="L4430" s="1"/>
    </row>
    <row r="4431" spans="1:12" ht="18" customHeight="1" x14ac:dyDescent="0.15">
      <c r="A4431" s="11">
        <v>789</v>
      </c>
      <c r="B4431" s="11" t="s">
        <v>28</v>
      </c>
      <c r="C4431" s="11" t="s">
        <v>145</v>
      </c>
      <c r="D4431" s="11">
        <v>1</v>
      </c>
      <c r="E4431" s="11" t="s">
        <v>4</v>
      </c>
      <c r="F4431" s="12">
        <v>47510</v>
      </c>
      <c r="G4431" s="12">
        <v>47510</v>
      </c>
      <c r="H4431" s="11" t="str">
        <f t="shared" si="142"/>
        <v>平成6年9月22日</v>
      </c>
      <c r="I4431" s="22">
        <f t="shared" si="141"/>
        <v>34599</v>
      </c>
      <c r="J4431" s="1" t="str">
        <f>"00737949"</f>
        <v>00737949</v>
      </c>
      <c r="K4431" s="1" t="str">
        <f>"１０２０　　　　　　　　　　　　　　　　"</f>
        <v>１０２０　　　　　　　　　　　　　　　　</v>
      </c>
      <c r="L4431" s="1"/>
    </row>
    <row r="4432" spans="1:12" ht="18" customHeight="1" x14ac:dyDescent="0.15">
      <c r="A4432" s="11">
        <v>790</v>
      </c>
      <c r="B4432" s="11" t="s">
        <v>28</v>
      </c>
      <c r="C4432" s="11" t="s">
        <v>145</v>
      </c>
      <c r="D4432" s="11">
        <v>1</v>
      </c>
      <c r="E4432" s="11" t="s">
        <v>4</v>
      </c>
      <c r="F4432" s="12">
        <v>47510</v>
      </c>
      <c r="G4432" s="12">
        <v>47510</v>
      </c>
      <c r="H4432" s="11" t="str">
        <f t="shared" si="142"/>
        <v>平成6年9月22日</v>
      </c>
      <c r="I4432" s="22">
        <f t="shared" si="141"/>
        <v>34599</v>
      </c>
      <c r="J4432" s="1" t="str">
        <f>"00737951"</f>
        <v>00737951</v>
      </c>
      <c r="K4432" s="1" t="str">
        <f>"１０２１　　　　　　　　　　　　　　　　"</f>
        <v>１０２１　　　　　　　　　　　　　　　　</v>
      </c>
      <c r="L4432" s="1"/>
    </row>
    <row r="4433" spans="1:12" ht="18" customHeight="1" x14ac:dyDescent="0.15">
      <c r="A4433" s="11">
        <v>791</v>
      </c>
      <c r="B4433" s="11" t="s">
        <v>28</v>
      </c>
      <c r="C4433" s="11" t="s">
        <v>145</v>
      </c>
      <c r="D4433" s="11">
        <v>1</v>
      </c>
      <c r="E4433" s="11" t="s">
        <v>4</v>
      </c>
      <c r="F4433" s="12">
        <v>47510</v>
      </c>
      <c r="G4433" s="12">
        <v>47510</v>
      </c>
      <c r="H4433" s="11" t="str">
        <f t="shared" si="142"/>
        <v>平成6年9月22日</v>
      </c>
      <c r="I4433" s="22">
        <f t="shared" si="141"/>
        <v>34599</v>
      </c>
      <c r="J4433" s="1" t="str">
        <f>"00737953"</f>
        <v>00737953</v>
      </c>
      <c r="K4433" s="1" t="str">
        <f>"１０２２　　　　　　　　　　　　　　　　"</f>
        <v>１０２２　　　　　　　　　　　　　　　　</v>
      </c>
      <c r="L4433" s="1"/>
    </row>
    <row r="4434" spans="1:12" ht="18" customHeight="1" x14ac:dyDescent="0.15">
      <c r="A4434" s="11">
        <v>792</v>
      </c>
      <c r="B4434" s="11" t="s">
        <v>28</v>
      </c>
      <c r="C4434" s="11" t="s">
        <v>145</v>
      </c>
      <c r="D4434" s="11">
        <v>1</v>
      </c>
      <c r="E4434" s="11" t="s">
        <v>4</v>
      </c>
      <c r="F4434" s="12">
        <v>47510</v>
      </c>
      <c r="G4434" s="12">
        <v>47510</v>
      </c>
      <c r="H4434" s="11" t="str">
        <f t="shared" si="142"/>
        <v>平成6年9月22日</v>
      </c>
      <c r="I4434" s="22">
        <f t="shared" ref="I4434:I4497" si="143">DATEVALUE(H4434)</f>
        <v>34599</v>
      </c>
      <c r="J4434" s="1" t="str">
        <f>"00737955"</f>
        <v>00737955</v>
      </c>
      <c r="K4434" s="1" t="str">
        <f>"１０２３　　　　　　　　　　　　　　　　"</f>
        <v>１０２３　　　　　　　　　　　　　　　　</v>
      </c>
      <c r="L4434" s="1"/>
    </row>
    <row r="4435" spans="1:12" ht="18" customHeight="1" x14ac:dyDescent="0.15">
      <c r="A4435" s="11">
        <v>793</v>
      </c>
      <c r="B4435" s="11" t="s">
        <v>28</v>
      </c>
      <c r="C4435" s="11" t="s">
        <v>145</v>
      </c>
      <c r="D4435" s="11">
        <v>1</v>
      </c>
      <c r="E4435" s="11" t="s">
        <v>4</v>
      </c>
      <c r="F4435" s="12">
        <v>47510</v>
      </c>
      <c r="G4435" s="12">
        <v>47510</v>
      </c>
      <c r="H4435" s="11" t="str">
        <f t="shared" si="142"/>
        <v>平成6年9月22日</v>
      </c>
      <c r="I4435" s="22">
        <f t="shared" si="143"/>
        <v>34599</v>
      </c>
      <c r="J4435" s="1" t="str">
        <f>"00737957"</f>
        <v>00737957</v>
      </c>
      <c r="K4435" s="1" t="str">
        <f>"１０２４　　　　　　　　　　　　　　　　"</f>
        <v>１０２４　　　　　　　　　　　　　　　　</v>
      </c>
      <c r="L4435" s="1"/>
    </row>
    <row r="4436" spans="1:12" ht="18" customHeight="1" x14ac:dyDescent="0.15">
      <c r="A4436" s="11">
        <v>794</v>
      </c>
      <c r="B4436" s="11" t="s">
        <v>28</v>
      </c>
      <c r="C4436" s="11" t="s">
        <v>145</v>
      </c>
      <c r="D4436" s="11">
        <v>1</v>
      </c>
      <c r="E4436" s="11" t="s">
        <v>4</v>
      </c>
      <c r="F4436" s="12">
        <v>47510</v>
      </c>
      <c r="G4436" s="12">
        <v>47510</v>
      </c>
      <c r="H4436" s="11" t="str">
        <f t="shared" si="142"/>
        <v>平成6年9月22日</v>
      </c>
      <c r="I4436" s="22">
        <f t="shared" si="143"/>
        <v>34599</v>
      </c>
      <c r="J4436" s="1" t="str">
        <f>"00737959"</f>
        <v>00737959</v>
      </c>
      <c r="K4436" s="1" t="str">
        <f>"１０２５　　　　　　　　　　　　　　　　"</f>
        <v>１０２５　　　　　　　　　　　　　　　　</v>
      </c>
      <c r="L4436" s="1"/>
    </row>
    <row r="4437" spans="1:12" ht="18" customHeight="1" x14ac:dyDescent="0.15">
      <c r="A4437" s="11">
        <v>795</v>
      </c>
      <c r="B4437" s="11" t="s">
        <v>28</v>
      </c>
      <c r="C4437" s="11" t="s">
        <v>145</v>
      </c>
      <c r="D4437" s="11">
        <v>1</v>
      </c>
      <c r="E4437" s="11" t="s">
        <v>4</v>
      </c>
      <c r="F4437" s="12">
        <v>47510</v>
      </c>
      <c r="G4437" s="12">
        <v>47510</v>
      </c>
      <c r="H4437" s="11" t="str">
        <f t="shared" si="142"/>
        <v>平成6年9月22日</v>
      </c>
      <c r="I4437" s="22">
        <f t="shared" si="143"/>
        <v>34599</v>
      </c>
      <c r="J4437" s="1" t="str">
        <f>"00737961"</f>
        <v>00737961</v>
      </c>
      <c r="K4437" s="1" t="str">
        <f>"１０２６　　　　　　　　　　　　　　　　"</f>
        <v>１０２６　　　　　　　　　　　　　　　　</v>
      </c>
      <c r="L4437" s="1"/>
    </row>
    <row r="4438" spans="1:12" ht="18" customHeight="1" x14ac:dyDescent="0.15">
      <c r="A4438" s="11">
        <v>796</v>
      </c>
      <c r="B4438" s="11" t="s">
        <v>28</v>
      </c>
      <c r="C4438" s="11" t="s">
        <v>145</v>
      </c>
      <c r="D4438" s="11">
        <v>1</v>
      </c>
      <c r="E4438" s="11" t="s">
        <v>4</v>
      </c>
      <c r="F4438" s="12">
        <v>47510</v>
      </c>
      <c r="G4438" s="12">
        <v>47510</v>
      </c>
      <c r="H4438" s="11" t="str">
        <f t="shared" si="142"/>
        <v>平成6年9月22日</v>
      </c>
      <c r="I4438" s="22">
        <f t="shared" si="143"/>
        <v>34599</v>
      </c>
      <c r="J4438" s="1" t="str">
        <f>"00737963"</f>
        <v>00737963</v>
      </c>
      <c r="K4438" s="1" t="str">
        <f>"１０２７　　　　　　　　　　　　　　　　"</f>
        <v>１０２７　　　　　　　　　　　　　　　　</v>
      </c>
      <c r="L4438" s="1"/>
    </row>
    <row r="4439" spans="1:12" ht="18" customHeight="1" x14ac:dyDescent="0.15">
      <c r="A4439" s="11">
        <v>797</v>
      </c>
      <c r="B4439" s="11" t="s">
        <v>28</v>
      </c>
      <c r="C4439" s="11" t="s">
        <v>145</v>
      </c>
      <c r="D4439" s="11">
        <v>1</v>
      </c>
      <c r="E4439" s="11" t="s">
        <v>4</v>
      </c>
      <c r="F4439" s="12">
        <v>47510</v>
      </c>
      <c r="G4439" s="12">
        <v>47510</v>
      </c>
      <c r="H4439" s="11" t="str">
        <f t="shared" si="142"/>
        <v>平成6年9月22日</v>
      </c>
      <c r="I4439" s="22">
        <f t="shared" si="143"/>
        <v>34599</v>
      </c>
      <c r="J4439" s="1" t="str">
        <f>"00737965"</f>
        <v>00737965</v>
      </c>
      <c r="K4439" s="1" t="str">
        <f>"１０２８　　　　　　　　　　　　　　　　"</f>
        <v>１０２８　　　　　　　　　　　　　　　　</v>
      </c>
      <c r="L4439" s="1"/>
    </row>
    <row r="4440" spans="1:12" ht="18" customHeight="1" x14ac:dyDescent="0.15">
      <c r="A4440" s="11">
        <v>798</v>
      </c>
      <c r="B4440" s="11" t="s">
        <v>28</v>
      </c>
      <c r="C4440" s="11" t="s">
        <v>145</v>
      </c>
      <c r="D4440" s="11">
        <v>1</v>
      </c>
      <c r="E4440" s="11" t="s">
        <v>4</v>
      </c>
      <c r="F4440" s="12">
        <v>47510</v>
      </c>
      <c r="G4440" s="12">
        <v>47510</v>
      </c>
      <c r="H4440" s="11" t="str">
        <f t="shared" si="142"/>
        <v>平成6年9月22日</v>
      </c>
      <c r="I4440" s="22">
        <f t="shared" si="143"/>
        <v>34599</v>
      </c>
      <c r="J4440" s="1" t="str">
        <f>"00737967"</f>
        <v>00737967</v>
      </c>
      <c r="K4440" s="1" t="str">
        <f>"１０２９　　　　　　　　　　　　　　　　"</f>
        <v>１０２９　　　　　　　　　　　　　　　　</v>
      </c>
      <c r="L4440" s="1"/>
    </row>
    <row r="4441" spans="1:12" ht="18" customHeight="1" x14ac:dyDescent="0.15">
      <c r="A4441" s="11">
        <v>799</v>
      </c>
      <c r="B4441" s="11" t="s">
        <v>28</v>
      </c>
      <c r="C4441" s="11" t="s">
        <v>145</v>
      </c>
      <c r="D4441" s="11">
        <v>1</v>
      </c>
      <c r="E4441" s="11" t="s">
        <v>4</v>
      </c>
      <c r="F4441" s="12">
        <v>47510</v>
      </c>
      <c r="G4441" s="12">
        <v>47510</v>
      </c>
      <c r="H4441" s="11" t="str">
        <f t="shared" si="142"/>
        <v>平成6年9月22日</v>
      </c>
      <c r="I4441" s="22">
        <f t="shared" si="143"/>
        <v>34599</v>
      </c>
      <c r="J4441" s="1" t="str">
        <f>"00737969"</f>
        <v>00737969</v>
      </c>
      <c r="K4441" s="1" t="str">
        <f>"１０３０　　　　　　　　　　　　　　　　"</f>
        <v>１０３０　　　　　　　　　　　　　　　　</v>
      </c>
      <c r="L4441" s="1"/>
    </row>
    <row r="4442" spans="1:12" ht="18" customHeight="1" x14ac:dyDescent="0.15">
      <c r="A4442" s="11">
        <v>800</v>
      </c>
      <c r="B4442" s="11" t="s">
        <v>28</v>
      </c>
      <c r="C4442" s="11" t="s">
        <v>145</v>
      </c>
      <c r="D4442" s="11">
        <v>1</v>
      </c>
      <c r="E4442" s="11" t="s">
        <v>4</v>
      </c>
      <c r="F4442" s="12">
        <v>47510</v>
      </c>
      <c r="G4442" s="12">
        <v>47510</v>
      </c>
      <c r="H4442" s="11" t="str">
        <f t="shared" si="142"/>
        <v>平成6年9月22日</v>
      </c>
      <c r="I4442" s="22">
        <f t="shared" si="143"/>
        <v>34599</v>
      </c>
      <c r="J4442" s="1" t="str">
        <f>"00737971"</f>
        <v>00737971</v>
      </c>
      <c r="K4442" s="1" t="str">
        <f>"１０３１　　　　　　　　　　　　　　　　"</f>
        <v>１０３１　　　　　　　　　　　　　　　　</v>
      </c>
      <c r="L4442" s="1"/>
    </row>
    <row r="4443" spans="1:12" ht="18" customHeight="1" x14ac:dyDescent="0.15">
      <c r="A4443" s="11">
        <v>801</v>
      </c>
      <c r="B4443" s="11" t="s">
        <v>28</v>
      </c>
      <c r="C4443" s="11" t="s">
        <v>145</v>
      </c>
      <c r="D4443" s="11">
        <v>1</v>
      </c>
      <c r="E4443" s="11" t="s">
        <v>4</v>
      </c>
      <c r="F4443" s="12">
        <v>47510</v>
      </c>
      <c r="G4443" s="12">
        <v>47510</v>
      </c>
      <c r="H4443" s="11" t="str">
        <f t="shared" si="142"/>
        <v>平成6年9月22日</v>
      </c>
      <c r="I4443" s="22">
        <f t="shared" si="143"/>
        <v>34599</v>
      </c>
      <c r="J4443" s="1" t="str">
        <f>"00737973"</f>
        <v>00737973</v>
      </c>
      <c r="K4443" s="1" t="str">
        <f>"１０３２　　　　　　　　　　　　　　　　"</f>
        <v>１０３２　　　　　　　　　　　　　　　　</v>
      </c>
      <c r="L4443" s="1"/>
    </row>
    <row r="4444" spans="1:12" ht="18" customHeight="1" x14ac:dyDescent="0.15">
      <c r="A4444" s="11">
        <v>802</v>
      </c>
      <c r="B4444" s="11" t="s">
        <v>28</v>
      </c>
      <c r="C4444" s="11" t="s">
        <v>145</v>
      </c>
      <c r="D4444" s="11">
        <v>1</v>
      </c>
      <c r="E4444" s="11" t="s">
        <v>4</v>
      </c>
      <c r="F4444" s="12">
        <v>47510</v>
      </c>
      <c r="G4444" s="12">
        <v>47510</v>
      </c>
      <c r="H4444" s="11" t="str">
        <f t="shared" si="142"/>
        <v>平成6年9月22日</v>
      </c>
      <c r="I4444" s="22">
        <f t="shared" si="143"/>
        <v>34599</v>
      </c>
      <c r="J4444" s="1" t="str">
        <f>"00737975"</f>
        <v>00737975</v>
      </c>
      <c r="K4444" s="1" t="str">
        <f>"１０３３　　　　　　　　　　　　　　　　"</f>
        <v>１０３３　　　　　　　　　　　　　　　　</v>
      </c>
      <c r="L4444" s="1"/>
    </row>
    <row r="4445" spans="1:12" ht="18" customHeight="1" x14ac:dyDescent="0.15">
      <c r="A4445" s="11">
        <v>803</v>
      </c>
      <c r="B4445" s="11" t="s">
        <v>28</v>
      </c>
      <c r="C4445" s="11" t="s">
        <v>145</v>
      </c>
      <c r="D4445" s="11">
        <v>1</v>
      </c>
      <c r="E4445" s="11" t="s">
        <v>4</v>
      </c>
      <c r="F4445" s="12">
        <v>47510</v>
      </c>
      <c r="G4445" s="12">
        <v>47510</v>
      </c>
      <c r="H4445" s="11" t="str">
        <f t="shared" si="142"/>
        <v>平成6年9月22日</v>
      </c>
      <c r="I4445" s="22">
        <f t="shared" si="143"/>
        <v>34599</v>
      </c>
      <c r="J4445" s="1" t="str">
        <f>"00737977"</f>
        <v>00737977</v>
      </c>
      <c r="K4445" s="1" t="str">
        <f>"１０３４　　　　　　　　　　　　　　　　"</f>
        <v>１０３４　　　　　　　　　　　　　　　　</v>
      </c>
      <c r="L4445" s="1"/>
    </row>
    <row r="4446" spans="1:12" ht="18" customHeight="1" x14ac:dyDescent="0.15">
      <c r="A4446" s="11">
        <v>804</v>
      </c>
      <c r="B4446" s="11" t="s">
        <v>28</v>
      </c>
      <c r="C4446" s="11" t="s">
        <v>145</v>
      </c>
      <c r="D4446" s="11">
        <v>1</v>
      </c>
      <c r="E4446" s="11" t="s">
        <v>4</v>
      </c>
      <c r="F4446" s="12">
        <v>47510</v>
      </c>
      <c r="G4446" s="12">
        <v>47510</v>
      </c>
      <c r="H4446" s="11" t="str">
        <f t="shared" si="142"/>
        <v>平成6年9月22日</v>
      </c>
      <c r="I4446" s="22">
        <f t="shared" si="143"/>
        <v>34599</v>
      </c>
      <c r="J4446" s="1" t="str">
        <f>"00737979"</f>
        <v>00737979</v>
      </c>
      <c r="K4446" s="1" t="str">
        <f>"１０３５　　　　　　　　　　　　　　　　"</f>
        <v>１０３５　　　　　　　　　　　　　　　　</v>
      </c>
      <c r="L4446" s="1"/>
    </row>
    <row r="4447" spans="1:12" ht="18" customHeight="1" x14ac:dyDescent="0.15">
      <c r="A4447" s="11">
        <v>805</v>
      </c>
      <c r="B4447" s="11" t="s">
        <v>28</v>
      </c>
      <c r="C4447" s="11" t="s">
        <v>145</v>
      </c>
      <c r="D4447" s="11">
        <v>1</v>
      </c>
      <c r="E4447" s="11" t="s">
        <v>4</v>
      </c>
      <c r="F4447" s="12">
        <v>47510</v>
      </c>
      <c r="G4447" s="12">
        <v>47510</v>
      </c>
      <c r="H4447" s="11" t="str">
        <f t="shared" si="142"/>
        <v>平成6年9月22日</v>
      </c>
      <c r="I4447" s="22">
        <f t="shared" si="143"/>
        <v>34599</v>
      </c>
      <c r="J4447" s="1" t="str">
        <f>"00737981"</f>
        <v>00737981</v>
      </c>
      <c r="K4447" s="1" t="str">
        <f>"１０３６　　　　　　　　　　　　　　　　"</f>
        <v>１０３６　　　　　　　　　　　　　　　　</v>
      </c>
      <c r="L4447" s="1"/>
    </row>
    <row r="4448" spans="1:12" ht="18" customHeight="1" x14ac:dyDescent="0.15">
      <c r="A4448" s="11">
        <v>806</v>
      </c>
      <c r="B4448" s="11" t="s">
        <v>28</v>
      </c>
      <c r="C4448" s="11" t="s">
        <v>145</v>
      </c>
      <c r="D4448" s="11">
        <v>1</v>
      </c>
      <c r="E4448" s="11" t="s">
        <v>4</v>
      </c>
      <c r="F4448" s="12">
        <v>47510</v>
      </c>
      <c r="G4448" s="12">
        <v>47510</v>
      </c>
      <c r="H4448" s="11" t="str">
        <f t="shared" si="142"/>
        <v>平成6年9月22日</v>
      </c>
      <c r="I4448" s="22">
        <f t="shared" si="143"/>
        <v>34599</v>
      </c>
      <c r="J4448" s="1" t="str">
        <f>"00737983"</f>
        <v>00737983</v>
      </c>
      <c r="K4448" s="1" t="str">
        <f>"１０３７　　　　　　　　　　　　　　　　"</f>
        <v>１０３７　　　　　　　　　　　　　　　　</v>
      </c>
      <c r="L4448" s="1"/>
    </row>
    <row r="4449" spans="1:12" ht="18" customHeight="1" x14ac:dyDescent="0.15">
      <c r="A4449" s="11">
        <v>807</v>
      </c>
      <c r="B4449" s="11" t="s">
        <v>28</v>
      </c>
      <c r="C4449" s="11" t="s">
        <v>145</v>
      </c>
      <c r="D4449" s="11">
        <v>1</v>
      </c>
      <c r="E4449" s="11" t="s">
        <v>4</v>
      </c>
      <c r="F4449" s="12">
        <v>47510</v>
      </c>
      <c r="G4449" s="12">
        <v>47510</v>
      </c>
      <c r="H4449" s="11" t="str">
        <f t="shared" ref="H4449:H4512" si="144">"平成6年9月22日"</f>
        <v>平成6年9月22日</v>
      </c>
      <c r="I4449" s="22">
        <f t="shared" si="143"/>
        <v>34599</v>
      </c>
      <c r="J4449" s="1" t="str">
        <f>"00737985"</f>
        <v>00737985</v>
      </c>
      <c r="K4449" s="1" t="str">
        <f>"１０３８　　　　　　　　　　　　　　　　"</f>
        <v>１０３８　　　　　　　　　　　　　　　　</v>
      </c>
      <c r="L4449" s="1"/>
    </row>
    <row r="4450" spans="1:12" ht="18" customHeight="1" x14ac:dyDescent="0.15">
      <c r="A4450" s="11">
        <v>808</v>
      </c>
      <c r="B4450" s="11" t="s">
        <v>28</v>
      </c>
      <c r="C4450" s="11" t="s">
        <v>145</v>
      </c>
      <c r="D4450" s="11">
        <v>1</v>
      </c>
      <c r="E4450" s="11" t="s">
        <v>4</v>
      </c>
      <c r="F4450" s="12">
        <v>47510</v>
      </c>
      <c r="G4450" s="12">
        <v>47510</v>
      </c>
      <c r="H4450" s="11" t="str">
        <f t="shared" si="144"/>
        <v>平成6年9月22日</v>
      </c>
      <c r="I4450" s="22">
        <f t="shared" si="143"/>
        <v>34599</v>
      </c>
      <c r="J4450" s="1" t="str">
        <f>"00737987"</f>
        <v>00737987</v>
      </c>
      <c r="K4450" s="1" t="str">
        <f>"１０３９　　　　　　　　　　　　　　　　"</f>
        <v>１０３９　　　　　　　　　　　　　　　　</v>
      </c>
      <c r="L4450" s="1"/>
    </row>
    <row r="4451" spans="1:12" ht="18" customHeight="1" x14ac:dyDescent="0.15">
      <c r="A4451" s="11">
        <v>809</v>
      </c>
      <c r="B4451" s="11" t="s">
        <v>28</v>
      </c>
      <c r="C4451" s="11" t="s">
        <v>145</v>
      </c>
      <c r="D4451" s="11">
        <v>1</v>
      </c>
      <c r="E4451" s="11" t="s">
        <v>4</v>
      </c>
      <c r="F4451" s="12">
        <v>47510</v>
      </c>
      <c r="G4451" s="12">
        <v>47510</v>
      </c>
      <c r="H4451" s="11" t="str">
        <f t="shared" si="144"/>
        <v>平成6年9月22日</v>
      </c>
      <c r="I4451" s="22">
        <f t="shared" si="143"/>
        <v>34599</v>
      </c>
      <c r="J4451" s="1" t="str">
        <f>"00737989"</f>
        <v>00737989</v>
      </c>
      <c r="K4451" s="1" t="str">
        <f>"１０４０　　　　　　　　　　　　　　　　"</f>
        <v>１０４０　　　　　　　　　　　　　　　　</v>
      </c>
      <c r="L4451" s="1"/>
    </row>
    <row r="4452" spans="1:12" ht="18" customHeight="1" x14ac:dyDescent="0.15">
      <c r="A4452" s="11">
        <v>810</v>
      </c>
      <c r="B4452" s="11" t="s">
        <v>28</v>
      </c>
      <c r="C4452" s="11" t="s">
        <v>145</v>
      </c>
      <c r="D4452" s="11">
        <v>1</v>
      </c>
      <c r="E4452" s="11" t="s">
        <v>4</v>
      </c>
      <c r="F4452" s="12">
        <v>47510</v>
      </c>
      <c r="G4452" s="12">
        <v>47510</v>
      </c>
      <c r="H4452" s="11" t="str">
        <f t="shared" si="144"/>
        <v>平成6年9月22日</v>
      </c>
      <c r="I4452" s="22">
        <f t="shared" si="143"/>
        <v>34599</v>
      </c>
      <c r="J4452" s="1" t="str">
        <f>"00737991"</f>
        <v>00737991</v>
      </c>
      <c r="K4452" s="1" t="str">
        <f>"１０４１　　　　　　　　　　　　　　　　"</f>
        <v>１０４１　　　　　　　　　　　　　　　　</v>
      </c>
      <c r="L4452" s="1"/>
    </row>
    <row r="4453" spans="1:12" ht="18" customHeight="1" x14ac:dyDescent="0.15">
      <c r="A4453" s="11">
        <v>811</v>
      </c>
      <c r="B4453" s="11" t="s">
        <v>28</v>
      </c>
      <c r="C4453" s="11" t="s">
        <v>145</v>
      </c>
      <c r="D4453" s="11">
        <v>1</v>
      </c>
      <c r="E4453" s="11" t="s">
        <v>4</v>
      </c>
      <c r="F4453" s="12">
        <v>47510</v>
      </c>
      <c r="G4453" s="12">
        <v>47510</v>
      </c>
      <c r="H4453" s="11" t="str">
        <f t="shared" si="144"/>
        <v>平成6年9月22日</v>
      </c>
      <c r="I4453" s="22">
        <f t="shared" si="143"/>
        <v>34599</v>
      </c>
      <c r="J4453" s="1" t="str">
        <f>"00737993"</f>
        <v>00737993</v>
      </c>
      <c r="K4453" s="1" t="str">
        <f>"１０４２　　　　　　　　　　　　　　　　"</f>
        <v>１０４２　　　　　　　　　　　　　　　　</v>
      </c>
      <c r="L4453" s="1"/>
    </row>
    <row r="4454" spans="1:12" ht="18" customHeight="1" x14ac:dyDescent="0.15">
      <c r="A4454" s="11">
        <v>812</v>
      </c>
      <c r="B4454" s="11" t="s">
        <v>28</v>
      </c>
      <c r="C4454" s="11" t="s">
        <v>145</v>
      </c>
      <c r="D4454" s="11">
        <v>1</v>
      </c>
      <c r="E4454" s="11" t="s">
        <v>4</v>
      </c>
      <c r="F4454" s="12">
        <v>47510</v>
      </c>
      <c r="G4454" s="12">
        <v>47510</v>
      </c>
      <c r="H4454" s="11" t="str">
        <f t="shared" si="144"/>
        <v>平成6年9月22日</v>
      </c>
      <c r="I4454" s="22">
        <f t="shared" si="143"/>
        <v>34599</v>
      </c>
      <c r="J4454" s="1" t="str">
        <f>"00737995"</f>
        <v>00737995</v>
      </c>
      <c r="K4454" s="1" t="str">
        <f>"１０４３　　　　　　　　　　　　　　　　"</f>
        <v>１０４３　　　　　　　　　　　　　　　　</v>
      </c>
      <c r="L4454" s="1"/>
    </row>
    <row r="4455" spans="1:12" ht="18" customHeight="1" x14ac:dyDescent="0.15">
      <c r="A4455" s="11">
        <v>813</v>
      </c>
      <c r="B4455" s="11" t="s">
        <v>28</v>
      </c>
      <c r="C4455" s="11" t="s">
        <v>145</v>
      </c>
      <c r="D4455" s="11">
        <v>1</v>
      </c>
      <c r="E4455" s="11" t="s">
        <v>4</v>
      </c>
      <c r="F4455" s="12">
        <v>47510</v>
      </c>
      <c r="G4455" s="12">
        <v>47510</v>
      </c>
      <c r="H4455" s="11" t="str">
        <f t="shared" si="144"/>
        <v>平成6年9月22日</v>
      </c>
      <c r="I4455" s="22">
        <f t="shared" si="143"/>
        <v>34599</v>
      </c>
      <c r="J4455" s="1" t="str">
        <f>"00737997"</f>
        <v>00737997</v>
      </c>
      <c r="K4455" s="1" t="str">
        <f>"１０４４　　　　　　　　　　　　　　　　"</f>
        <v>１０４４　　　　　　　　　　　　　　　　</v>
      </c>
      <c r="L4455" s="1"/>
    </row>
    <row r="4456" spans="1:12" ht="18" customHeight="1" x14ac:dyDescent="0.15">
      <c r="A4456" s="11">
        <v>814</v>
      </c>
      <c r="B4456" s="11" t="s">
        <v>28</v>
      </c>
      <c r="C4456" s="11" t="s">
        <v>145</v>
      </c>
      <c r="D4456" s="11">
        <v>1</v>
      </c>
      <c r="E4456" s="11" t="s">
        <v>4</v>
      </c>
      <c r="F4456" s="12">
        <v>47510</v>
      </c>
      <c r="G4456" s="12">
        <v>47510</v>
      </c>
      <c r="H4456" s="11" t="str">
        <f t="shared" si="144"/>
        <v>平成6年9月22日</v>
      </c>
      <c r="I4456" s="22">
        <f t="shared" si="143"/>
        <v>34599</v>
      </c>
      <c r="J4456" s="1" t="str">
        <f>"00737999"</f>
        <v>00737999</v>
      </c>
      <c r="K4456" s="1" t="str">
        <f>"１０４５　　　　　　　　　　　　　　　　"</f>
        <v>１０４５　　　　　　　　　　　　　　　　</v>
      </c>
      <c r="L4456" s="1"/>
    </row>
    <row r="4457" spans="1:12" ht="18" customHeight="1" x14ac:dyDescent="0.15">
      <c r="A4457" s="11">
        <v>815</v>
      </c>
      <c r="B4457" s="11" t="s">
        <v>28</v>
      </c>
      <c r="C4457" s="11" t="s">
        <v>145</v>
      </c>
      <c r="D4457" s="11">
        <v>1</v>
      </c>
      <c r="E4457" s="11" t="s">
        <v>4</v>
      </c>
      <c r="F4457" s="12">
        <v>47510</v>
      </c>
      <c r="G4457" s="12">
        <v>47510</v>
      </c>
      <c r="H4457" s="11" t="str">
        <f t="shared" si="144"/>
        <v>平成6年9月22日</v>
      </c>
      <c r="I4457" s="22">
        <f t="shared" si="143"/>
        <v>34599</v>
      </c>
      <c r="J4457" s="1" t="str">
        <f>"00738001"</f>
        <v>00738001</v>
      </c>
      <c r="K4457" s="1" t="str">
        <f>"１０４６　　　　　　　　　　　　　　　　"</f>
        <v>１０４６　　　　　　　　　　　　　　　　</v>
      </c>
      <c r="L4457" s="1"/>
    </row>
    <row r="4458" spans="1:12" ht="18" customHeight="1" x14ac:dyDescent="0.15">
      <c r="A4458" s="11">
        <v>816</v>
      </c>
      <c r="B4458" s="11" t="s">
        <v>28</v>
      </c>
      <c r="C4458" s="11" t="s">
        <v>145</v>
      </c>
      <c r="D4458" s="11">
        <v>1</v>
      </c>
      <c r="E4458" s="11" t="s">
        <v>4</v>
      </c>
      <c r="F4458" s="12">
        <v>47510</v>
      </c>
      <c r="G4458" s="12">
        <v>47510</v>
      </c>
      <c r="H4458" s="11" t="str">
        <f t="shared" si="144"/>
        <v>平成6年9月22日</v>
      </c>
      <c r="I4458" s="22">
        <f t="shared" si="143"/>
        <v>34599</v>
      </c>
      <c r="J4458" s="1" t="str">
        <f>"00738003"</f>
        <v>00738003</v>
      </c>
      <c r="K4458" s="1" t="str">
        <f>"１０４７　　　　　　　　　　　　　　　　"</f>
        <v>１０４７　　　　　　　　　　　　　　　　</v>
      </c>
      <c r="L4458" s="1"/>
    </row>
    <row r="4459" spans="1:12" ht="18" customHeight="1" x14ac:dyDescent="0.15">
      <c r="A4459" s="11">
        <v>817</v>
      </c>
      <c r="B4459" s="11" t="s">
        <v>28</v>
      </c>
      <c r="C4459" s="11" t="s">
        <v>145</v>
      </c>
      <c r="D4459" s="11">
        <v>1</v>
      </c>
      <c r="E4459" s="11" t="s">
        <v>4</v>
      </c>
      <c r="F4459" s="12">
        <v>47510</v>
      </c>
      <c r="G4459" s="12">
        <v>47510</v>
      </c>
      <c r="H4459" s="11" t="str">
        <f t="shared" si="144"/>
        <v>平成6年9月22日</v>
      </c>
      <c r="I4459" s="22">
        <f t="shared" si="143"/>
        <v>34599</v>
      </c>
      <c r="J4459" s="1" t="str">
        <f>"00738005"</f>
        <v>00738005</v>
      </c>
      <c r="K4459" s="1" t="str">
        <f>"１０４８　　　　　　　　　　　　　　　　"</f>
        <v>１０４８　　　　　　　　　　　　　　　　</v>
      </c>
      <c r="L4459" s="1"/>
    </row>
    <row r="4460" spans="1:12" ht="18" customHeight="1" x14ac:dyDescent="0.15">
      <c r="A4460" s="11">
        <v>818</v>
      </c>
      <c r="B4460" s="11" t="s">
        <v>28</v>
      </c>
      <c r="C4460" s="11" t="s">
        <v>145</v>
      </c>
      <c r="D4460" s="11">
        <v>1</v>
      </c>
      <c r="E4460" s="11" t="s">
        <v>4</v>
      </c>
      <c r="F4460" s="12">
        <v>47510</v>
      </c>
      <c r="G4460" s="12">
        <v>47510</v>
      </c>
      <c r="H4460" s="11" t="str">
        <f t="shared" si="144"/>
        <v>平成6年9月22日</v>
      </c>
      <c r="I4460" s="22">
        <f t="shared" si="143"/>
        <v>34599</v>
      </c>
      <c r="J4460" s="1" t="str">
        <f>"00738007"</f>
        <v>00738007</v>
      </c>
      <c r="K4460" s="1" t="str">
        <f>"１０４９　　　　　　　　　　　　　　　　"</f>
        <v>１０４９　　　　　　　　　　　　　　　　</v>
      </c>
      <c r="L4460" s="1"/>
    </row>
    <row r="4461" spans="1:12" ht="18" customHeight="1" x14ac:dyDescent="0.15">
      <c r="A4461" s="11">
        <v>819</v>
      </c>
      <c r="B4461" s="11" t="s">
        <v>28</v>
      </c>
      <c r="C4461" s="11" t="s">
        <v>145</v>
      </c>
      <c r="D4461" s="11">
        <v>1</v>
      </c>
      <c r="E4461" s="11" t="s">
        <v>4</v>
      </c>
      <c r="F4461" s="12">
        <v>47510</v>
      </c>
      <c r="G4461" s="12">
        <v>47510</v>
      </c>
      <c r="H4461" s="11" t="str">
        <f t="shared" si="144"/>
        <v>平成6年9月22日</v>
      </c>
      <c r="I4461" s="22">
        <f t="shared" si="143"/>
        <v>34599</v>
      </c>
      <c r="J4461" s="1" t="str">
        <f>"00738009"</f>
        <v>00738009</v>
      </c>
      <c r="K4461" s="1" t="str">
        <f>"１０５０　　　　　　　　　　　　　　　　"</f>
        <v>１０５０　　　　　　　　　　　　　　　　</v>
      </c>
      <c r="L4461" s="1"/>
    </row>
    <row r="4462" spans="1:12" ht="18" customHeight="1" x14ac:dyDescent="0.15">
      <c r="A4462" s="11">
        <v>820</v>
      </c>
      <c r="B4462" s="11" t="s">
        <v>28</v>
      </c>
      <c r="C4462" s="11" t="s">
        <v>145</v>
      </c>
      <c r="D4462" s="11">
        <v>1</v>
      </c>
      <c r="E4462" s="11" t="s">
        <v>4</v>
      </c>
      <c r="F4462" s="12">
        <v>47510</v>
      </c>
      <c r="G4462" s="12">
        <v>47510</v>
      </c>
      <c r="H4462" s="11" t="str">
        <f t="shared" si="144"/>
        <v>平成6年9月22日</v>
      </c>
      <c r="I4462" s="22">
        <f t="shared" si="143"/>
        <v>34599</v>
      </c>
      <c r="J4462" s="1" t="str">
        <f>"00738011"</f>
        <v>00738011</v>
      </c>
      <c r="K4462" s="1" t="str">
        <f>"１０５１　　　　　　　　　　　　　　　　"</f>
        <v>１０５１　　　　　　　　　　　　　　　　</v>
      </c>
      <c r="L4462" s="1"/>
    </row>
    <row r="4463" spans="1:12" ht="18" customHeight="1" x14ac:dyDescent="0.15">
      <c r="A4463" s="11">
        <v>821</v>
      </c>
      <c r="B4463" s="11" t="s">
        <v>28</v>
      </c>
      <c r="C4463" s="11" t="s">
        <v>145</v>
      </c>
      <c r="D4463" s="11">
        <v>1</v>
      </c>
      <c r="E4463" s="11" t="s">
        <v>4</v>
      </c>
      <c r="F4463" s="12">
        <v>47510</v>
      </c>
      <c r="G4463" s="12">
        <v>47510</v>
      </c>
      <c r="H4463" s="11" t="str">
        <f t="shared" si="144"/>
        <v>平成6年9月22日</v>
      </c>
      <c r="I4463" s="22">
        <f t="shared" si="143"/>
        <v>34599</v>
      </c>
      <c r="J4463" s="1" t="str">
        <f>"00738013"</f>
        <v>00738013</v>
      </c>
      <c r="K4463" s="1" t="str">
        <f>"１０５２　　　　　　　　　　　　　　　　"</f>
        <v>１０５２　　　　　　　　　　　　　　　　</v>
      </c>
      <c r="L4463" s="1"/>
    </row>
    <row r="4464" spans="1:12" ht="18" customHeight="1" x14ac:dyDescent="0.15">
      <c r="A4464" s="11">
        <v>822</v>
      </c>
      <c r="B4464" s="11" t="s">
        <v>28</v>
      </c>
      <c r="C4464" s="11" t="s">
        <v>145</v>
      </c>
      <c r="D4464" s="11">
        <v>1</v>
      </c>
      <c r="E4464" s="11" t="s">
        <v>4</v>
      </c>
      <c r="F4464" s="12">
        <v>47510</v>
      </c>
      <c r="G4464" s="12">
        <v>47510</v>
      </c>
      <c r="H4464" s="11" t="str">
        <f t="shared" si="144"/>
        <v>平成6年9月22日</v>
      </c>
      <c r="I4464" s="22">
        <f t="shared" si="143"/>
        <v>34599</v>
      </c>
      <c r="J4464" s="1" t="str">
        <f>"00738014"</f>
        <v>00738014</v>
      </c>
      <c r="K4464" s="1" t="str">
        <f>"１０５３　　　　　　　　　　　　　　　　"</f>
        <v>１０５３　　　　　　　　　　　　　　　　</v>
      </c>
      <c r="L4464" s="1"/>
    </row>
    <row r="4465" spans="1:12" ht="18" customHeight="1" x14ac:dyDescent="0.15">
      <c r="A4465" s="11">
        <v>823</v>
      </c>
      <c r="B4465" s="11" t="s">
        <v>28</v>
      </c>
      <c r="C4465" s="11" t="s">
        <v>145</v>
      </c>
      <c r="D4465" s="11">
        <v>1</v>
      </c>
      <c r="E4465" s="11" t="s">
        <v>4</v>
      </c>
      <c r="F4465" s="12">
        <v>47510</v>
      </c>
      <c r="G4465" s="12">
        <v>47510</v>
      </c>
      <c r="H4465" s="11" t="str">
        <f t="shared" si="144"/>
        <v>平成6年9月22日</v>
      </c>
      <c r="I4465" s="22">
        <f t="shared" si="143"/>
        <v>34599</v>
      </c>
      <c r="J4465" s="1" t="str">
        <f>"00738016"</f>
        <v>00738016</v>
      </c>
      <c r="K4465" s="1" t="str">
        <f>"１０５４　　　　　　　　　　　　　　　　"</f>
        <v>１０５４　　　　　　　　　　　　　　　　</v>
      </c>
      <c r="L4465" s="1"/>
    </row>
    <row r="4466" spans="1:12" ht="18" customHeight="1" x14ac:dyDescent="0.15">
      <c r="A4466" s="11">
        <v>824</v>
      </c>
      <c r="B4466" s="11" t="s">
        <v>28</v>
      </c>
      <c r="C4466" s="11" t="s">
        <v>145</v>
      </c>
      <c r="D4466" s="11">
        <v>1</v>
      </c>
      <c r="E4466" s="11" t="s">
        <v>4</v>
      </c>
      <c r="F4466" s="12">
        <v>47510</v>
      </c>
      <c r="G4466" s="12">
        <v>47510</v>
      </c>
      <c r="H4466" s="11" t="str">
        <f t="shared" si="144"/>
        <v>平成6年9月22日</v>
      </c>
      <c r="I4466" s="22">
        <f t="shared" si="143"/>
        <v>34599</v>
      </c>
      <c r="J4466" s="1" t="str">
        <f>"00738018"</f>
        <v>00738018</v>
      </c>
      <c r="K4466" s="1" t="str">
        <f>"１０５５　　　　　　　　　　　　　　　　"</f>
        <v>１０５５　　　　　　　　　　　　　　　　</v>
      </c>
      <c r="L4466" s="1"/>
    </row>
    <row r="4467" spans="1:12" ht="18" customHeight="1" x14ac:dyDescent="0.15">
      <c r="A4467" s="11">
        <v>825</v>
      </c>
      <c r="B4467" s="11" t="s">
        <v>28</v>
      </c>
      <c r="C4467" s="11" t="s">
        <v>145</v>
      </c>
      <c r="D4467" s="11">
        <v>1</v>
      </c>
      <c r="E4467" s="11" t="s">
        <v>4</v>
      </c>
      <c r="F4467" s="12">
        <v>47510</v>
      </c>
      <c r="G4467" s="12">
        <v>47510</v>
      </c>
      <c r="H4467" s="11" t="str">
        <f t="shared" si="144"/>
        <v>平成6年9月22日</v>
      </c>
      <c r="I4467" s="22">
        <f t="shared" si="143"/>
        <v>34599</v>
      </c>
      <c r="J4467" s="1" t="str">
        <f>"00738020"</f>
        <v>00738020</v>
      </c>
      <c r="K4467" s="1" t="str">
        <f>"１０５６　　　　　　　　　　　　　　　　"</f>
        <v>１０５６　　　　　　　　　　　　　　　　</v>
      </c>
      <c r="L4467" s="1"/>
    </row>
    <row r="4468" spans="1:12" ht="18" customHeight="1" x14ac:dyDescent="0.15">
      <c r="A4468" s="11">
        <v>826</v>
      </c>
      <c r="B4468" s="11" t="s">
        <v>28</v>
      </c>
      <c r="C4468" s="11" t="s">
        <v>145</v>
      </c>
      <c r="D4468" s="11">
        <v>1</v>
      </c>
      <c r="E4468" s="11" t="s">
        <v>4</v>
      </c>
      <c r="F4468" s="12">
        <v>47510</v>
      </c>
      <c r="G4468" s="12">
        <v>47510</v>
      </c>
      <c r="H4468" s="11" t="str">
        <f t="shared" si="144"/>
        <v>平成6年9月22日</v>
      </c>
      <c r="I4468" s="22">
        <f t="shared" si="143"/>
        <v>34599</v>
      </c>
      <c r="J4468" s="1" t="str">
        <f>"00738022"</f>
        <v>00738022</v>
      </c>
      <c r="K4468" s="1" t="str">
        <f>"１０５７　　　　　　　　　　　　　　　　"</f>
        <v>１０５７　　　　　　　　　　　　　　　　</v>
      </c>
      <c r="L4468" s="1"/>
    </row>
    <row r="4469" spans="1:12" ht="18" customHeight="1" x14ac:dyDescent="0.15">
      <c r="A4469" s="11">
        <v>827</v>
      </c>
      <c r="B4469" s="11" t="s">
        <v>28</v>
      </c>
      <c r="C4469" s="11" t="s">
        <v>145</v>
      </c>
      <c r="D4469" s="11">
        <v>1</v>
      </c>
      <c r="E4469" s="11" t="s">
        <v>4</v>
      </c>
      <c r="F4469" s="12">
        <v>47510</v>
      </c>
      <c r="G4469" s="12">
        <v>47510</v>
      </c>
      <c r="H4469" s="11" t="str">
        <f t="shared" si="144"/>
        <v>平成6年9月22日</v>
      </c>
      <c r="I4469" s="22">
        <f t="shared" si="143"/>
        <v>34599</v>
      </c>
      <c r="J4469" s="1" t="str">
        <f>"00738024"</f>
        <v>00738024</v>
      </c>
      <c r="K4469" s="1" t="str">
        <f>"１０５８　　　　　　　　　　　　　　　　"</f>
        <v>１０５８　　　　　　　　　　　　　　　　</v>
      </c>
      <c r="L4469" s="1"/>
    </row>
    <row r="4470" spans="1:12" ht="18" customHeight="1" x14ac:dyDescent="0.15">
      <c r="A4470" s="11">
        <v>828</v>
      </c>
      <c r="B4470" s="11" t="s">
        <v>28</v>
      </c>
      <c r="C4470" s="11" t="s">
        <v>145</v>
      </c>
      <c r="D4470" s="11">
        <v>1</v>
      </c>
      <c r="E4470" s="11" t="s">
        <v>4</v>
      </c>
      <c r="F4470" s="12">
        <v>47510</v>
      </c>
      <c r="G4470" s="12">
        <v>47510</v>
      </c>
      <c r="H4470" s="11" t="str">
        <f t="shared" si="144"/>
        <v>平成6年9月22日</v>
      </c>
      <c r="I4470" s="22">
        <f t="shared" si="143"/>
        <v>34599</v>
      </c>
      <c r="J4470" s="1" t="str">
        <f>"00738026"</f>
        <v>00738026</v>
      </c>
      <c r="K4470" s="1" t="str">
        <f>"１０５９　　　　　　　　　　　　　　　　"</f>
        <v>１０５９　　　　　　　　　　　　　　　　</v>
      </c>
      <c r="L4470" s="1"/>
    </row>
    <row r="4471" spans="1:12" ht="18" customHeight="1" x14ac:dyDescent="0.15">
      <c r="A4471" s="11">
        <v>829</v>
      </c>
      <c r="B4471" s="11" t="s">
        <v>28</v>
      </c>
      <c r="C4471" s="11" t="s">
        <v>145</v>
      </c>
      <c r="D4471" s="11">
        <v>1</v>
      </c>
      <c r="E4471" s="11" t="s">
        <v>4</v>
      </c>
      <c r="F4471" s="12">
        <v>47510</v>
      </c>
      <c r="G4471" s="12">
        <v>47510</v>
      </c>
      <c r="H4471" s="11" t="str">
        <f t="shared" si="144"/>
        <v>平成6年9月22日</v>
      </c>
      <c r="I4471" s="22">
        <f t="shared" si="143"/>
        <v>34599</v>
      </c>
      <c r="J4471" s="1" t="str">
        <f>"00738028"</f>
        <v>00738028</v>
      </c>
      <c r="K4471" s="1" t="str">
        <f>"１０６０　　　　　　　　　　　　　　　　"</f>
        <v>１０６０　　　　　　　　　　　　　　　　</v>
      </c>
      <c r="L4471" s="1"/>
    </row>
    <row r="4472" spans="1:12" ht="18" customHeight="1" x14ac:dyDescent="0.15">
      <c r="A4472" s="11">
        <v>830</v>
      </c>
      <c r="B4472" s="11" t="s">
        <v>28</v>
      </c>
      <c r="C4472" s="11" t="s">
        <v>145</v>
      </c>
      <c r="D4472" s="11">
        <v>1</v>
      </c>
      <c r="E4472" s="11" t="s">
        <v>4</v>
      </c>
      <c r="F4472" s="12">
        <v>47510</v>
      </c>
      <c r="G4472" s="12">
        <v>47510</v>
      </c>
      <c r="H4472" s="11" t="str">
        <f t="shared" si="144"/>
        <v>平成6年9月22日</v>
      </c>
      <c r="I4472" s="22">
        <f t="shared" si="143"/>
        <v>34599</v>
      </c>
      <c r="J4472" s="1" t="str">
        <f>"00738030"</f>
        <v>00738030</v>
      </c>
      <c r="K4472" s="1" t="str">
        <f>"１０６１　　　　　　　　　　　　　　　　"</f>
        <v>１０６１　　　　　　　　　　　　　　　　</v>
      </c>
      <c r="L4472" s="1"/>
    </row>
    <row r="4473" spans="1:12" ht="18" customHeight="1" x14ac:dyDescent="0.15">
      <c r="A4473" s="11">
        <v>831</v>
      </c>
      <c r="B4473" s="11" t="s">
        <v>28</v>
      </c>
      <c r="C4473" s="11" t="s">
        <v>145</v>
      </c>
      <c r="D4473" s="11">
        <v>1</v>
      </c>
      <c r="E4473" s="11" t="s">
        <v>4</v>
      </c>
      <c r="F4473" s="12">
        <v>47510</v>
      </c>
      <c r="G4473" s="12">
        <v>47510</v>
      </c>
      <c r="H4473" s="11" t="str">
        <f t="shared" si="144"/>
        <v>平成6年9月22日</v>
      </c>
      <c r="I4473" s="22">
        <f t="shared" si="143"/>
        <v>34599</v>
      </c>
      <c r="J4473" s="1" t="str">
        <f>"00738032"</f>
        <v>00738032</v>
      </c>
      <c r="K4473" s="1" t="str">
        <f>"１０６２　　　　　　　　　　　　　　　　"</f>
        <v>１０６２　　　　　　　　　　　　　　　　</v>
      </c>
      <c r="L4473" s="1"/>
    </row>
    <row r="4474" spans="1:12" ht="18" customHeight="1" x14ac:dyDescent="0.15">
      <c r="A4474" s="11">
        <v>832</v>
      </c>
      <c r="B4474" s="11" t="s">
        <v>28</v>
      </c>
      <c r="C4474" s="11" t="s">
        <v>145</v>
      </c>
      <c r="D4474" s="11">
        <v>1</v>
      </c>
      <c r="E4474" s="11" t="s">
        <v>4</v>
      </c>
      <c r="F4474" s="12">
        <v>47510</v>
      </c>
      <c r="G4474" s="12">
        <v>47510</v>
      </c>
      <c r="H4474" s="11" t="str">
        <f t="shared" si="144"/>
        <v>平成6年9月22日</v>
      </c>
      <c r="I4474" s="22">
        <f t="shared" si="143"/>
        <v>34599</v>
      </c>
      <c r="J4474" s="1" t="str">
        <f>"00738034"</f>
        <v>00738034</v>
      </c>
      <c r="K4474" s="1" t="str">
        <f>"１０６３　　　　　　　　　　　　　　　　"</f>
        <v>１０６３　　　　　　　　　　　　　　　　</v>
      </c>
      <c r="L4474" s="1"/>
    </row>
    <row r="4475" spans="1:12" ht="18" customHeight="1" x14ac:dyDescent="0.15">
      <c r="A4475" s="11">
        <v>833</v>
      </c>
      <c r="B4475" s="11" t="s">
        <v>28</v>
      </c>
      <c r="C4475" s="11" t="s">
        <v>145</v>
      </c>
      <c r="D4475" s="11">
        <v>1</v>
      </c>
      <c r="E4475" s="11" t="s">
        <v>4</v>
      </c>
      <c r="F4475" s="12">
        <v>47510</v>
      </c>
      <c r="G4475" s="12">
        <v>47510</v>
      </c>
      <c r="H4475" s="11" t="str">
        <f t="shared" si="144"/>
        <v>平成6年9月22日</v>
      </c>
      <c r="I4475" s="22">
        <f t="shared" si="143"/>
        <v>34599</v>
      </c>
      <c r="J4475" s="1" t="str">
        <f>"00738036"</f>
        <v>00738036</v>
      </c>
      <c r="K4475" s="1" t="str">
        <f>"１０６４　　　　　　　　　　　　　　　　"</f>
        <v>１０６４　　　　　　　　　　　　　　　　</v>
      </c>
      <c r="L4475" s="1"/>
    </row>
    <row r="4476" spans="1:12" ht="18" customHeight="1" x14ac:dyDescent="0.15">
      <c r="A4476" s="11">
        <v>834</v>
      </c>
      <c r="B4476" s="11" t="s">
        <v>28</v>
      </c>
      <c r="C4476" s="11" t="s">
        <v>145</v>
      </c>
      <c r="D4476" s="11">
        <v>1</v>
      </c>
      <c r="E4476" s="11" t="s">
        <v>4</v>
      </c>
      <c r="F4476" s="12">
        <v>47510</v>
      </c>
      <c r="G4476" s="12">
        <v>47510</v>
      </c>
      <c r="H4476" s="11" t="str">
        <f t="shared" si="144"/>
        <v>平成6年9月22日</v>
      </c>
      <c r="I4476" s="22">
        <f t="shared" si="143"/>
        <v>34599</v>
      </c>
      <c r="J4476" s="1" t="str">
        <f>"00738038"</f>
        <v>00738038</v>
      </c>
      <c r="K4476" s="1" t="str">
        <f>"１０６５　　　　　　　　　　　　　　　　"</f>
        <v>１０６５　　　　　　　　　　　　　　　　</v>
      </c>
      <c r="L4476" s="1"/>
    </row>
    <row r="4477" spans="1:12" ht="18" customHeight="1" x14ac:dyDescent="0.15">
      <c r="A4477" s="11">
        <v>835</v>
      </c>
      <c r="B4477" s="11" t="s">
        <v>28</v>
      </c>
      <c r="C4477" s="11" t="s">
        <v>145</v>
      </c>
      <c r="D4477" s="11">
        <v>1</v>
      </c>
      <c r="E4477" s="11" t="s">
        <v>4</v>
      </c>
      <c r="F4477" s="12">
        <v>47510</v>
      </c>
      <c r="G4477" s="12">
        <v>47510</v>
      </c>
      <c r="H4477" s="11" t="str">
        <f t="shared" si="144"/>
        <v>平成6年9月22日</v>
      </c>
      <c r="I4477" s="22">
        <f t="shared" si="143"/>
        <v>34599</v>
      </c>
      <c r="J4477" s="1" t="str">
        <f>"00738040"</f>
        <v>00738040</v>
      </c>
      <c r="K4477" s="1" t="str">
        <f>"１０６６　　　　　　　　　　　　　　　　"</f>
        <v>１０６６　　　　　　　　　　　　　　　　</v>
      </c>
      <c r="L4477" s="1"/>
    </row>
    <row r="4478" spans="1:12" ht="18" customHeight="1" x14ac:dyDescent="0.15">
      <c r="A4478" s="11">
        <v>836</v>
      </c>
      <c r="B4478" s="11" t="s">
        <v>28</v>
      </c>
      <c r="C4478" s="11" t="s">
        <v>145</v>
      </c>
      <c r="D4478" s="11">
        <v>1</v>
      </c>
      <c r="E4478" s="11" t="s">
        <v>4</v>
      </c>
      <c r="F4478" s="12">
        <v>47510</v>
      </c>
      <c r="G4478" s="12">
        <v>47510</v>
      </c>
      <c r="H4478" s="11" t="str">
        <f t="shared" si="144"/>
        <v>平成6年9月22日</v>
      </c>
      <c r="I4478" s="22">
        <f t="shared" si="143"/>
        <v>34599</v>
      </c>
      <c r="J4478" s="1" t="str">
        <f>"00738042"</f>
        <v>00738042</v>
      </c>
      <c r="K4478" s="1" t="str">
        <f>"１０６７　　　　　　　　　　　　　　　　"</f>
        <v>１０６７　　　　　　　　　　　　　　　　</v>
      </c>
      <c r="L4478" s="1"/>
    </row>
    <row r="4479" spans="1:12" ht="18" customHeight="1" x14ac:dyDescent="0.15">
      <c r="A4479" s="11">
        <v>837</v>
      </c>
      <c r="B4479" s="11" t="s">
        <v>28</v>
      </c>
      <c r="C4479" s="11" t="s">
        <v>145</v>
      </c>
      <c r="D4479" s="11">
        <v>1</v>
      </c>
      <c r="E4479" s="11" t="s">
        <v>4</v>
      </c>
      <c r="F4479" s="12">
        <v>47510</v>
      </c>
      <c r="G4479" s="12">
        <v>47510</v>
      </c>
      <c r="H4479" s="11" t="str">
        <f t="shared" si="144"/>
        <v>平成6年9月22日</v>
      </c>
      <c r="I4479" s="22">
        <f t="shared" si="143"/>
        <v>34599</v>
      </c>
      <c r="J4479" s="1" t="str">
        <f>"00738044"</f>
        <v>00738044</v>
      </c>
      <c r="K4479" s="1" t="str">
        <f>"１０６８　　　　　　　　　　　　　　　　"</f>
        <v>１０６８　　　　　　　　　　　　　　　　</v>
      </c>
      <c r="L4479" s="1"/>
    </row>
    <row r="4480" spans="1:12" ht="18" customHeight="1" x14ac:dyDescent="0.15">
      <c r="A4480" s="11">
        <v>838</v>
      </c>
      <c r="B4480" s="11" t="s">
        <v>28</v>
      </c>
      <c r="C4480" s="11" t="s">
        <v>145</v>
      </c>
      <c r="D4480" s="11">
        <v>1</v>
      </c>
      <c r="E4480" s="11" t="s">
        <v>4</v>
      </c>
      <c r="F4480" s="12">
        <v>47510</v>
      </c>
      <c r="G4480" s="12">
        <v>47510</v>
      </c>
      <c r="H4480" s="11" t="str">
        <f t="shared" si="144"/>
        <v>平成6年9月22日</v>
      </c>
      <c r="I4480" s="22">
        <f t="shared" si="143"/>
        <v>34599</v>
      </c>
      <c r="J4480" s="1" t="str">
        <f>"00738046"</f>
        <v>00738046</v>
      </c>
      <c r="K4480" s="1" t="str">
        <f>"１０６９　　　　　　　　　　　　　　　　"</f>
        <v>１０６９　　　　　　　　　　　　　　　　</v>
      </c>
      <c r="L4480" s="1"/>
    </row>
    <row r="4481" spans="1:12" ht="18" customHeight="1" x14ac:dyDescent="0.15">
      <c r="A4481" s="11">
        <v>839</v>
      </c>
      <c r="B4481" s="11" t="s">
        <v>28</v>
      </c>
      <c r="C4481" s="11" t="s">
        <v>145</v>
      </c>
      <c r="D4481" s="11">
        <v>1</v>
      </c>
      <c r="E4481" s="11" t="s">
        <v>4</v>
      </c>
      <c r="F4481" s="12">
        <v>47510</v>
      </c>
      <c r="G4481" s="12">
        <v>47510</v>
      </c>
      <c r="H4481" s="11" t="str">
        <f t="shared" si="144"/>
        <v>平成6年9月22日</v>
      </c>
      <c r="I4481" s="22">
        <f t="shared" si="143"/>
        <v>34599</v>
      </c>
      <c r="J4481" s="1" t="str">
        <f>"00738048"</f>
        <v>00738048</v>
      </c>
      <c r="K4481" s="1" t="str">
        <f>"１０７０　　　　　　　　　　　　　　　　"</f>
        <v>１０７０　　　　　　　　　　　　　　　　</v>
      </c>
      <c r="L4481" s="1"/>
    </row>
    <row r="4482" spans="1:12" ht="18" customHeight="1" x14ac:dyDescent="0.15">
      <c r="A4482" s="11">
        <v>840</v>
      </c>
      <c r="B4482" s="11" t="s">
        <v>28</v>
      </c>
      <c r="C4482" s="11" t="s">
        <v>145</v>
      </c>
      <c r="D4482" s="11">
        <v>1</v>
      </c>
      <c r="E4482" s="11" t="s">
        <v>4</v>
      </c>
      <c r="F4482" s="12">
        <v>47510</v>
      </c>
      <c r="G4482" s="12">
        <v>47510</v>
      </c>
      <c r="H4482" s="11" t="str">
        <f t="shared" si="144"/>
        <v>平成6年9月22日</v>
      </c>
      <c r="I4482" s="22">
        <f t="shared" si="143"/>
        <v>34599</v>
      </c>
      <c r="J4482" s="1" t="str">
        <f>"00738050"</f>
        <v>00738050</v>
      </c>
      <c r="K4482" s="1" t="str">
        <f>"１０７１　　　　　　　　　　　　　　　　"</f>
        <v>１０７１　　　　　　　　　　　　　　　　</v>
      </c>
      <c r="L4482" s="1"/>
    </row>
    <row r="4483" spans="1:12" ht="18" customHeight="1" x14ac:dyDescent="0.15">
      <c r="A4483" s="11">
        <v>841</v>
      </c>
      <c r="B4483" s="11" t="s">
        <v>28</v>
      </c>
      <c r="C4483" s="11" t="s">
        <v>145</v>
      </c>
      <c r="D4483" s="11">
        <v>1</v>
      </c>
      <c r="E4483" s="11" t="s">
        <v>4</v>
      </c>
      <c r="F4483" s="12">
        <v>47510</v>
      </c>
      <c r="G4483" s="12">
        <v>47510</v>
      </c>
      <c r="H4483" s="11" t="str">
        <f t="shared" si="144"/>
        <v>平成6年9月22日</v>
      </c>
      <c r="I4483" s="22">
        <f t="shared" si="143"/>
        <v>34599</v>
      </c>
      <c r="J4483" s="1" t="str">
        <f>"00738052"</f>
        <v>00738052</v>
      </c>
      <c r="K4483" s="1" t="str">
        <f>"１０７２　　　　　　　　　　　　　　　　"</f>
        <v>１０７２　　　　　　　　　　　　　　　　</v>
      </c>
      <c r="L4483" s="1"/>
    </row>
    <row r="4484" spans="1:12" ht="18" customHeight="1" x14ac:dyDescent="0.15">
      <c r="A4484" s="11">
        <v>842</v>
      </c>
      <c r="B4484" s="11" t="s">
        <v>28</v>
      </c>
      <c r="C4484" s="11" t="s">
        <v>145</v>
      </c>
      <c r="D4484" s="11">
        <v>1</v>
      </c>
      <c r="E4484" s="11" t="s">
        <v>4</v>
      </c>
      <c r="F4484" s="12">
        <v>47510</v>
      </c>
      <c r="G4484" s="12">
        <v>47510</v>
      </c>
      <c r="H4484" s="11" t="str">
        <f t="shared" si="144"/>
        <v>平成6年9月22日</v>
      </c>
      <c r="I4484" s="22">
        <f t="shared" si="143"/>
        <v>34599</v>
      </c>
      <c r="J4484" s="1" t="str">
        <f>"00738054"</f>
        <v>00738054</v>
      </c>
      <c r="K4484" s="1" t="str">
        <f>"１０７３　　　　　　　　　　　　　　　　"</f>
        <v>１０７３　　　　　　　　　　　　　　　　</v>
      </c>
      <c r="L4484" s="1"/>
    </row>
    <row r="4485" spans="1:12" ht="18" customHeight="1" x14ac:dyDescent="0.15">
      <c r="A4485" s="11">
        <v>843</v>
      </c>
      <c r="B4485" s="11" t="s">
        <v>28</v>
      </c>
      <c r="C4485" s="11" t="s">
        <v>145</v>
      </c>
      <c r="D4485" s="11">
        <v>1</v>
      </c>
      <c r="E4485" s="11" t="s">
        <v>4</v>
      </c>
      <c r="F4485" s="12">
        <v>47510</v>
      </c>
      <c r="G4485" s="12">
        <v>47510</v>
      </c>
      <c r="H4485" s="11" t="str">
        <f t="shared" si="144"/>
        <v>平成6年9月22日</v>
      </c>
      <c r="I4485" s="22">
        <f t="shared" si="143"/>
        <v>34599</v>
      </c>
      <c r="J4485" s="1" t="str">
        <f>"00738056"</f>
        <v>00738056</v>
      </c>
      <c r="K4485" s="1" t="str">
        <f>"１０７４　　　　　　　　　　　　　　　　"</f>
        <v>１０７４　　　　　　　　　　　　　　　　</v>
      </c>
      <c r="L4485" s="1"/>
    </row>
    <row r="4486" spans="1:12" ht="18" customHeight="1" x14ac:dyDescent="0.15">
      <c r="A4486" s="11">
        <v>844</v>
      </c>
      <c r="B4486" s="11" t="s">
        <v>28</v>
      </c>
      <c r="C4486" s="11" t="s">
        <v>145</v>
      </c>
      <c r="D4486" s="11">
        <v>1</v>
      </c>
      <c r="E4486" s="11" t="s">
        <v>4</v>
      </c>
      <c r="F4486" s="12">
        <v>47510</v>
      </c>
      <c r="G4486" s="12">
        <v>47510</v>
      </c>
      <c r="H4486" s="11" t="str">
        <f t="shared" si="144"/>
        <v>平成6年9月22日</v>
      </c>
      <c r="I4486" s="22">
        <f t="shared" si="143"/>
        <v>34599</v>
      </c>
      <c r="J4486" s="1" t="str">
        <f>"00738058"</f>
        <v>00738058</v>
      </c>
      <c r="K4486" s="1" t="str">
        <f>"１０７５　　　　　　　　　　　　　　　　"</f>
        <v>１０７５　　　　　　　　　　　　　　　　</v>
      </c>
      <c r="L4486" s="1"/>
    </row>
    <row r="4487" spans="1:12" ht="18" customHeight="1" x14ac:dyDescent="0.15">
      <c r="A4487" s="11">
        <v>845</v>
      </c>
      <c r="B4487" s="11" t="s">
        <v>28</v>
      </c>
      <c r="C4487" s="11" t="s">
        <v>145</v>
      </c>
      <c r="D4487" s="11">
        <v>1</v>
      </c>
      <c r="E4487" s="11" t="s">
        <v>4</v>
      </c>
      <c r="F4487" s="12">
        <v>47510</v>
      </c>
      <c r="G4487" s="12">
        <v>47510</v>
      </c>
      <c r="H4487" s="11" t="str">
        <f t="shared" si="144"/>
        <v>平成6年9月22日</v>
      </c>
      <c r="I4487" s="22">
        <f t="shared" si="143"/>
        <v>34599</v>
      </c>
      <c r="J4487" s="1" t="str">
        <f>"00738060"</f>
        <v>00738060</v>
      </c>
      <c r="K4487" s="1" t="str">
        <f>"１０７６　　　　　　　　　　　　　　　　"</f>
        <v>１０７６　　　　　　　　　　　　　　　　</v>
      </c>
      <c r="L4487" s="1"/>
    </row>
    <row r="4488" spans="1:12" ht="18" customHeight="1" x14ac:dyDescent="0.15">
      <c r="A4488" s="11">
        <v>846</v>
      </c>
      <c r="B4488" s="11" t="s">
        <v>28</v>
      </c>
      <c r="C4488" s="11" t="s">
        <v>145</v>
      </c>
      <c r="D4488" s="11">
        <v>1</v>
      </c>
      <c r="E4488" s="11" t="s">
        <v>4</v>
      </c>
      <c r="F4488" s="12">
        <v>47510</v>
      </c>
      <c r="G4488" s="12">
        <v>47510</v>
      </c>
      <c r="H4488" s="11" t="str">
        <f t="shared" si="144"/>
        <v>平成6年9月22日</v>
      </c>
      <c r="I4488" s="22">
        <f t="shared" si="143"/>
        <v>34599</v>
      </c>
      <c r="J4488" s="1" t="str">
        <f>"00738063"</f>
        <v>00738063</v>
      </c>
      <c r="K4488" s="1" t="str">
        <f>"１０７７　　　　　　　　　　　　　　　　"</f>
        <v>１０７７　　　　　　　　　　　　　　　　</v>
      </c>
      <c r="L4488" s="1"/>
    </row>
    <row r="4489" spans="1:12" ht="18" customHeight="1" x14ac:dyDescent="0.15">
      <c r="A4489" s="11">
        <v>847</v>
      </c>
      <c r="B4489" s="11" t="s">
        <v>28</v>
      </c>
      <c r="C4489" s="11" t="s">
        <v>145</v>
      </c>
      <c r="D4489" s="11">
        <v>1</v>
      </c>
      <c r="E4489" s="11" t="s">
        <v>4</v>
      </c>
      <c r="F4489" s="12">
        <v>47510</v>
      </c>
      <c r="G4489" s="12">
        <v>47510</v>
      </c>
      <c r="H4489" s="11" t="str">
        <f t="shared" si="144"/>
        <v>平成6年9月22日</v>
      </c>
      <c r="I4489" s="22">
        <f t="shared" si="143"/>
        <v>34599</v>
      </c>
      <c r="J4489" s="1" t="str">
        <f>"00738065"</f>
        <v>00738065</v>
      </c>
      <c r="K4489" s="1" t="str">
        <f>"１０７８　　　　　　　　　　　　　　　　"</f>
        <v>１０７８　　　　　　　　　　　　　　　　</v>
      </c>
      <c r="L4489" s="1"/>
    </row>
    <row r="4490" spans="1:12" ht="18" customHeight="1" x14ac:dyDescent="0.15">
      <c r="A4490" s="11">
        <v>848</v>
      </c>
      <c r="B4490" s="11" t="s">
        <v>28</v>
      </c>
      <c r="C4490" s="11" t="s">
        <v>145</v>
      </c>
      <c r="D4490" s="11">
        <v>1</v>
      </c>
      <c r="E4490" s="11" t="s">
        <v>4</v>
      </c>
      <c r="F4490" s="12">
        <v>47510</v>
      </c>
      <c r="G4490" s="12">
        <v>47510</v>
      </c>
      <c r="H4490" s="11" t="str">
        <f t="shared" si="144"/>
        <v>平成6年9月22日</v>
      </c>
      <c r="I4490" s="22">
        <f t="shared" si="143"/>
        <v>34599</v>
      </c>
      <c r="J4490" s="1" t="str">
        <f>"00738067"</f>
        <v>00738067</v>
      </c>
      <c r="K4490" s="1" t="str">
        <f>"１０７９　　　　　　　　　　　　　　　　"</f>
        <v>１０７９　　　　　　　　　　　　　　　　</v>
      </c>
      <c r="L4490" s="1"/>
    </row>
    <row r="4491" spans="1:12" ht="18" customHeight="1" x14ac:dyDescent="0.15">
      <c r="A4491" s="11">
        <v>849</v>
      </c>
      <c r="B4491" s="11" t="s">
        <v>28</v>
      </c>
      <c r="C4491" s="11" t="s">
        <v>145</v>
      </c>
      <c r="D4491" s="11">
        <v>1</v>
      </c>
      <c r="E4491" s="11" t="s">
        <v>4</v>
      </c>
      <c r="F4491" s="12">
        <v>47510</v>
      </c>
      <c r="G4491" s="12">
        <v>47510</v>
      </c>
      <c r="H4491" s="11" t="str">
        <f t="shared" si="144"/>
        <v>平成6年9月22日</v>
      </c>
      <c r="I4491" s="22">
        <f t="shared" si="143"/>
        <v>34599</v>
      </c>
      <c r="J4491" s="1" t="str">
        <f>"00738069"</f>
        <v>00738069</v>
      </c>
      <c r="K4491" s="1" t="str">
        <f>"１０８０　　　　　　　　　　　　　　　　"</f>
        <v>１０８０　　　　　　　　　　　　　　　　</v>
      </c>
      <c r="L4491" s="1"/>
    </row>
    <row r="4492" spans="1:12" ht="18" customHeight="1" x14ac:dyDescent="0.15">
      <c r="A4492" s="11">
        <v>850</v>
      </c>
      <c r="B4492" s="11" t="s">
        <v>28</v>
      </c>
      <c r="C4492" s="11" t="s">
        <v>145</v>
      </c>
      <c r="D4492" s="11">
        <v>1</v>
      </c>
      <c r="E4492" s="11" t="s">
        <v>4</v>
      </c>
      <c r="F4492" s="12">
        <v>47510</v>
      </c>
      <c r="G4492" s="12">
        <v>47510</v>
      </c>
      <c r="H4492" s="11" t="str">
        <f t="shared" si="144"/>
        <v>平成6年9月22日</v>
      </c>
      <c r="I4492" s="22">
        <f t="shared" si="143"/>
        <v>34599</v>
      </c>
      <c r="J4492" s="1" t="str">
        <f>"00738071"</f>
        <v>00738071</v>
      </c>
      <c r="K4492" s="1" t="str">
        <f>"１０８１　　　　　　　　　　　　　　　　"</f>
        <v>１０８１　　　　　　　　　　　　　　　　</v>
      </c>
      <c r="L4492" s="1"/>
    </row>
    <row r="4493" spans="1:12" ht="18" customHeight="1" x14ac:dyDescent="0.15">
      <c r="A4493" s="11">
        <v>851</v>
      </c>
      <c r="B4493" s="11" t="s">
        <v>28</v>
      </c>
      <c r="C4493" s="11" t="s">
        <v>145</v>
      </c>
      <c r="D4493" s="11">
        <v>1</v>
      </c>
      <c r="E4493" s="11" t="s">
        <v>4</v>
      </c>
      <c r="F4493" s="12">
        <v>47510</v>
      </c>
      <c r="G4493" s="12">
        <v>47510</v>
      </c>
      <c r="H4493" s="11" t="str">
        <f t="shared" si="144"/>
        <v>平成6年9月22日</v>
      </c>
      <c r="I4493" s="22">
        <f t="shared" si="143"/>
        <v>34599</v>
      </c>
      <c r="J4493" s="1" t="str">
        <f>"00738073"</f>
        <v>00738073</v>
      </c>
      <c r="K4493" s="1" t="str">
        <f>"１０８２　　　　　　　　　　　　　　　　"</f>
        <v>１０８２　　　　　　　　　　　　　　　　</v>
      </c>
      <c r="L4493" s="1"/>
    </row>
    <row r="4494" spans="1:12" ht="18" customHeight="1" x14ac:dyDescent="0.15">
      <c r="A4494" s="11">
        <v>852</v>
      </c>
      <c r="B4494" s="11" t="s">
        <v>28</v>
      </c>
      <c r="C4494" s="11" t="s">
        <v>145</v>
      </c>
      <c r="D4494" s="11">
        <v>1</v>
      </c>
      <c r="E4494" s="11" t="s">
        <v>4</v>
      </c>
      <c r="F4494" s="12">
        <v>47510</v>
      </c>
      <c r="G4494" s="12">
        <v>47510</v>
      </c>
      <c r="H4494" s="11" t="str">
        <f t="shared" si="144"/>
        <v>平成6年9月22日</v>
      </c>
      <c r="I4494" s="22">
        <f t="shared" si="143"/>
        <v>34599</v>
      </c>
      <c r="J4494" s="1" t="str">
        <f>"00738075"</f>
        <v>00738075</v>
      </c>
      <c r="K4494" s="1" t="str">
        <f>"１０８３　　　　　　　　　　　　　　　　"</f>
        <v>１０８３　　　　　　　　　　　　　　　　</v>
      </c>
      <c r="L4494" s="1"/>
    </row>
    <row r="4495" spans="1:12" ht="18" customHeight="1" x14ac:dyDescent="0.15">
      <c r="A4495" s="11">
        <v>853</v>
      </c>
      <c r="B4495" s="11" t="s">
        <v>28</v>
      </c>
      <c r="C4495" s="11" t="s">
        <v>145</v>
      </c>
      <c r="D4495" s="11">
        <v>1</v>
      </c>
      <c r="E4495" s="11" t="s">
        <v>4</v>
      </c>
      <c r="F4495" s="12">
        <v>47510</v>
      </c>
      <c r="G4495" s="12">
        <v>47510</v>
      </c>
      <c r="H4495" s="11" t="str">
        <f t="shared" si="144"/>
        <v>平成6年9月22日</v>
      </c>
      <c r="I4495" s="22">
        <f t="shared" si="143"/>
        <v>34599</v>
      </c>
      <c r="J4495" s="1" t="str">
        <f>"00738077"</f>
        <v>00738077</v>
      </c>
      <c r="K4495" s="1" t="str">
        <f>"１０８４　　　　　　　　　　　　　　　　"</f>
        <v>１０８４　　　　　　　　　　　　　　　　</v>
      </c>
      <c r="L4495" s="1"/>
    </row>
    <row r="4496" spans="1:12" ht="18" customHeight="1" x14ac:dyDescent="0.15">
      <c r="A4496" s="11">
        <v>854</v>
      </c>
      <c r="B4496" s="11" t="s">
        <v>28</v>
      </c>
      <c r="C4496" s="11" t="s">
        <v>145</v>
      </c>
      <c r="D4496" s="11">
        <v>1</v>
      </c>
      <c r="E4496" s="11" t="s">
        <v>4</v>
      </c>
      <c r="F4496" s="12">
        <v>47510</v>
      </c>
      <c r="G4496" s="12">
        <v>47510</v>
      </c>
      <c r="H4496" s="11" t="str">
        <f t="shared" si="144"/>
        <v>平成6年9月22日</v>
      </c>
      <c r="I4496" s="22">
        <f t="shared" si="143"/>
        <v>34599</v>
      </c>
      <c r="J4496" s="1" t="str">
        <f>"00738079"</f>
        <v>00738079</v>
      </c>
      <c r="K4496" s="1" t="str">
        <f>"１０８５　　　　　　　　　　　　　　　　"</f>
        <v>１０８５　　　　　　　　　　　　　　　　</v>
      </c>
      <c r="L4496" s="1"/>
    </row>
    <row r="4497" spans="1:12" ht="18" customHeight="1" x14ac:dyDescent="0.15">
      <c r="A4497" s="11">
        <v>855</v>
      </c>
      <c r="B4497" s="11" t="s">
        <v>28</v>
      </c>
      <c r="C4497" s="11" t="s">
        <v>145</v>
      </c>
      <c r="D4497" s="11">
        <v>1</v>
      </c>
      <c r="E4497" s="11" t="s">
        <v>4</v>
      </c>
      <c r="F4497" s="12">
        <v>47510</v>
      </c>
      <c r="G4497" s="12">
        <v>47510</v>
      </c>
      <c r="H4497" s="11" t="str">
        <f t="shared" si="144"/>
        <v>平成6年9月22日</v>
      </c>
      <c r="I4497" s="22">
        <f t="shared" si="143"/>
        <v>34599</v>
      </c>
      <c r="J4497" s="1" t="str">
        <f>"00738081"</f>
        <v>00738081</v>
      </c>
      <c r="K4497" s="1" t="str">
        <f>"１０８６　　　　　　　　　　　　　　　　"</f>
        <v>１０８６　　　　　　　　　　　　　　　　</v>
      </c>
      <c r="L4497" s="1"/>
    </row>
    <row r="4498" spans="1:12" ht="18" customHeight="1" x14ac:dyDescent="0.15">
      <c r="A4498" s="11">
        <v>856</v>
      </c>
      <c r="B4498" s="11" t="s">
        <v>28</v>
      </c>
      <c r="C4498" s="11" t="s">
        <v>145</v>
      </c>
      <c r="D4498" s="11">
        <v>1</v>
      </c>
      <c r="E4498" s="11" t="s">
        <v>4</v>
      </c>
      <c r="F4498" s="12">
        <v>47510</v>
      </c>
      <c r="G4498" s="12">
        <v>47510</v>
      </c>
      <c r="H4498" s="11" t="str">
        <f t="shared" si="144"/>
        <v>平成6年9月22日</v>
      </c>
      <c r="I4498" s="22">
        <f t="shared" ref="I4498:I4561" si="145">DATEVALUE(H4498)</f>
        <v>34599</v>
      </c>
      <c r="J4498" s="1" t="str">
        <f>"00738083"</f>
        <v>00738083</v>
      </c>
      <c r="K4498" s="1" t="str">
        <f>"１０８７　　　　　　　　　　　　　　　　"</f>
        <v>１０８７　　　　　　　　　　　　　　　　</v>
      </c>
      <c r="L4498" s="1"/>
    </row>
    <row r="4499" spans="1:12" ht="18" customHeight="1" x14ac:dyDescent="0.15">
      <c r="A4499" s="11">
        <v>857</v>
      </c>
      <c r="B4499" s="11" t="s">
        <v>28</v>
      </c>
      <c r="C4499" s="11" t="s">
        <v>145</v>
      </c>
      <c r="D4499" s="11">
        <v>1</v>
      </c>
      <c r="E4499" s="11" t="s">
        <v>4</v>
      </c>
      <c r="F4499" s="12">
        <v>47510</v>
      </c>
      <c r="G4499" s="12">
        <v>47510</v>
      </c>
      <c r="H4499" s="11" t="str">
        <f t="shared" si="144"/>
        <v>平成6年9月22日</v>
      </c>
      <c r="I4499" s="22">
        <f t="shared" si="145"/>
        <v>34599</v>
      </c>
      <c r="J4499" s="1" t="str">
        <f>"00738085"</f>
        <v>00738085</v>
      </c>
      <c r="K4499" s="1" t="str">
        <f>"１０８８　　　　　　　　　　　　　　　　"</f>
        <v>１０８８　　　　　　　　　　　　　　　　</v>
      </c>
      <c r="L4499" s="1"/>
    </row>
    <row r="4500" spans="1:12" ht="18" customHeight="1" x14ac:dyDescent="0.15">
      <c r="A4500" s="11">
        <v>858</v>
      </c>
      <c r="B4500" s="11" t="s">
        <v>28</v>
      </c>
      <c r="C4500" s="11" t="s">
        <v>145</v>
      </c>
      <c r="D4500" s="11">
        <v>1</v>
      </c>
      <c r="E4500" s="11" t="s">
        <v>4</v>
      </c>
      <c r="F4500" s="12">
        <v>47510</v>
      </c>
      <c r="G4500" s="12">
        <v>47510</v>
      </c>
      <c r="H4500" s="11" t="str">
        <f t="shared" si="144"/>
        <v>平成6年9月22日</v>
      </c>
      <c r="I4500" s="22">
        <f t="shared" si="145"/>
        <v>34599</v>
      </c>
      <c r="J4500" s="1" t="str">
        <f>"00738087"</f>
        <v>00738087</v>
      </c>
      <c r="K4500" s="1" t="str">
        <f>"１０８９　　　　　　　　　　　　　　　　"</f>
        <v>１０８９　　　　　　　　　　　　　　　　</v>
      </c>
      <c r="L4500" s="1"/>
    </row>
    <row r="4501" spans="1:12" ht="18" customHeight="1" x14ac:dyDescent="0.15">
      <c r="A4501" s="11">
        <v>859</v>
      </c>
      <c r="B4501" s="11" t="s">
        <v>28</v>
      </c>
      <c r="C4501" s="11" t="s">
        <v>145</v>
      </c>
      <c r="D4501" s="11">
        <v>1</v>
      </c>
      <c r="E4501" s="11" t="s">
        <v>4</v>
      </c>
      <c r="F4501" s="12">
        <v>47510</v>
      </c>
      <c r="G4501" s="12">
        <v>47510</v>
      </c>
      <c r="H4501" s="11" t="str">
        <f t="shared" si="144"/>
        <v>平成6年9月22日</v>
      </c>
      <c r="I4501" s="22">
        <f t="shared" si="145"/>
        <v>34599</v>
      </c>
      <c r="J4501" s="1" t="str">
        <f>"00738089"</f>
        <v>00738089</v>
      </c>
      <c r="K4501" s="1" t="str">
        <f>"１０９０　　　　　　　　　　　　　　　　"</f>
        <v>１０９０　　　　　　　　　　　　　　　　</v>
      </c>
      <c r="L4501" s="1"/>
    </row>
    <row r="4502" spans="1:12" ht="18" customHeight="1" x14ac:dyDescent="0.15">
      <c r="A4502" s="11">
        <v>860</v>
      </c>
      <c r="B4502" s="11" t="s">
        <v>28</v>
      </c>
      <c r="C4502" s="11" t="s">
        <v>145</v>
      </c>
      <c r="D4502" s="11">
        <v>1</v>
      </c>
      <c r="E4502" s="11" t="s">
        <v>4</v>
      </c>
      <c r="F4502" s="12">
        <v>47510</v>
      </c>
      <c r="G4502" s="12">
        <v>47510</v>
      </c>
      <c r="H4502" s="11" t="str">
        <f t="shared" si="144"/>
        <v>平成6年9月22日</v>
      </c>
      <c r="I4502" s="22">
        <f t="shared" si="145"/>
        <v>34599</v>
      </c>
      <c r="J4502" s="1" t="str">
        <f>"00738091"</f>
        <v>00738091</v>
      </c>
      <c r="K4502" s="1" t="str">
        <f>"１０９１　　　　　　　　　　　　　　　　"</f>
        <v>１０９１　　　　　　　　　　　　　　　　</v>
      </c>
      <c r="L4502" s="1"/>
    </row>
    <row r="4503" spans="1:12" ht="18" customHeight="1" x14ac:dyDescent="0.15">
      <c r="A4503" s="11">
        <v>861</v>
      </c>
      <c r="B4503" s="11" t="s">
        <v>28</v>
      </c>
      <c r="C4503" s="11" t="s">
        <v>145</v>
      </c>
      <c r="D4503" s="11">
        <v>1</v>
      </c>
      <c r="E4503" s="11" t="s">
        <v>4</v>
      </c>
      <c r="F4503" s="12">
        <v>47510</v>
      </c>
      <c r="G4503" s="12">
        <v>47510</v>
      </c>
      <c r="H4503" s="11" t="str">
        <f t="shared" si="144"/>
        <v>平成6年9月22日</v>
      </c>
      <c r="I4503" s="22">
        <f t="shared" si="145"/>
        <v>34599</v>
      </c>
      <c r="J4503" s="1" t="str">
        <f>"00738093"</f>
        <v>00738093</v>
      </c>
      <c r="K4503" s="1" t="str">
        <f>"１０９２　　　　　　　　　　　　　　　　"</f>
        <v>１０９２　　　　　　　　　　　　　　　　</v>
      </c>
      <c r="L4503" s="1"/>
    </row>
    <row r="4504" spans="1:12" ht="18" customHeight="1" x14ac:dyDescent="0.15">
      <c r="A4504" s="11">
        <v>862</v>
      </c>
      <c r="B4504" s="11" t="s">
        <v>28</v>
      </c>
      <c r="C4504" s="11" t="s">
        <v>145</v>
      </c>
      <c r="D4504" s="11">
        <v>1</v>
      </c>
      <c r="E4504" s="11" t="s">
        <v>4</v>
      </c>
      <c r="F4504" s="12">
        <v>47510</v>
      </c>
      <c r="G4504" s="12">
        <v>47510</v>
      </c>
      <c r="H4504" s="11" t="str">
        <f t="shared" si="144"/>
        <v>平成6年9月22日</v>
      </c>
      <c r="I4504" s="22">
        <f t="shared" si="145"/>
        <v>34599</v>
      </c>
      <c r="J4504" s="1" t="str">
        <f>"00738095"</f>
        <v>00738095</v>
      </c>
      <c r="K4504" s="1" t="str">
        <f>"１０９３　　　　　　　　　　　　　　　　"</f>
        <v>１０９３　　　　　　　　　　　　　　　　</v>
      </c>
      <c r="L4504" s="1"/>
    </row>
    <row r="4505" spans="1:12" ht="18" customHeight="1" x14ac:dyDescent="0.15">
      <c r="A4505" s="11">
        <v>863</v>
      </c>
      <c r="B4505" s="11" t="s">
        <v>28</v>
      </c>
      <c r="C4505" s="11" t="s">
        <v>145</v>
      </c>
      <c r="D4505" s="11">
        <v>1</v>
      </c>
      <c r="E4505" s="11" t="s">
        <v>4</v>
      </c>
      <c r="F4505" s="12">
        <v>47510</v>
      </c>
      <c r="G4505" s="12">
        <v>47510</v>
      </c>
      <c r="H4505" s="11" t="str">
        <f t="shared" si="144"/>
        <v>平成6年9月22日</v>
      </c>
      <c r="I4505" s="22">
        <f t="shared" si="145"/>
        <v>34599</v>
      </c>
      <c r="J4505" s="1" t="str">
        <f>"00738097"</f>
        <v>00738097</v>
      </c>
      <c r="K4505" s="1" t="str">
        <f>"１０９４　　　　　　　　　　　　　　　　"</f>
        <v>１０９４　　　　　　　　　　　　　　　　</v>
      </c>
      <c r="L4505" s="1"/>
    </row>
    <row r="4506" spans="1:12" ht="18" customHeight="1" x14ac:dyDescent="0.15">
      <c r="A4506" s="11">
        <v>864</v>
      </c>
      <c r="B4506" s="11" t="s">
        <v>28</v>
      </c>
      <c r="C4506" s="11" t="s">
        <v>145</v>
      </c>
      <c r="D4506" s="11">
        <v>1</v>
      </c>
      <c r="E4506" s="11" t="s">
        <v>4</v>
      </c>
      <c r="F4506" s="12">
        <v>47510</v>
      </c>
      <c r="G4506" s="12">
        <v>47510</v>
      </c>
      <c r="H4506" s="11" t="str">
        <f t="shared" si="144"/>
        <v>平成6年9月22日</v>
      </c>
      <c r="I4506" s="22">
        <f t="shared" si="145"/>
        <v>34599</v>
      </c>
      <c r="J4506" s="1" t="str">
        <f>"00738099"</f>
        <v>00738099</v>
      </c>
      <c r="K4506" s="1" t="str">
        <f>"１０９５　　　　　　　　　　　　　　　　"</f>
        <v>１０９５　　　　　　　　　　　　　　　　</v>
      </c>
      <c r="L4506" s="1"/>
    </row>
    <row r="4507" spans="1:12" ht="18" customHeight="1" x14ac:dyDescent="0.15">
      <c r="A4507" s="11">
        <v>865</v>
      </c>
      <c r="B4507" s="11" t="s">
        <v>28</v>
      </c>
      <c r="C4507" s="11" t="s">
        <v>145</v>
      </c>
      <c r="D4507" s="11">
        <v>1</v>
      </c>
      <c r="E4507" s="11" t="s">
        <v>4</v>
      </c>
      <c r="F4507" s="12">
        <v>47510</v>
      </c>
      <c r="G4507" s="12">
        <v>47510</v>
      </c>
      <c r="H4507" s="11" t="str">
        <f t="shared" si="144"/>
        <v>平成6年9月22日</v>
      </c>
      <c r="I4507" s="22">
        <f t="shared" si="145"/>
        <v>34599</v>
      </c>
      <c r="J4507" s="1" t="str">
        <f>"00738101"</f>
        <v>00738101</v>
      </c>
      <c r="K4507" s="1" t="str">
        <f>"１０９６　　　　　　　　　　　　　　　　"</f>
        <v>１０９６　　　　　　　　　　　　　　　　</v>
      </c>
      <c r="L4507" s="1"/>
    </row>
    <row r="4508" spans="1:12" ht="18" customHeight="1" x14ac:dyDescent="0.15">
      <c r="A4508" s="11">
        <v>866</v>
      </c>
      <c r="B4508" s="11" t="s">
        <v>28</v>
      </c>
      <c r="C4508" s="11" t="s">
        <v>145</v>
      </c>
      <c r="D4508" s="11">
        <v>1</v>
      </c>
      <c r="E4508" s="11" t="s">
        <v>4</v>
      </c>
      <c r="F4508" s="12">
        <v>47510</v>
      </c>
      <c r="G4508" s="12">
        <v>47510</v>
      </c>
      <c r="H4508" s="11" t="str">
        <f t="shared" si="144"/>
        <v>平成6年9月22日</v>
      </c>
      <c r="I4508" s="22">
        <f t="shared" si="145"/>
        <v>34599</v>
      </c>
      <c r="J4508" s="1" t="str">
        <f>"00738103"</f>
        <v>00738103</v>
      </c>
      <c r="K4508" s="1" t="str">
        <f>"１０９７　　　　　　　　　　　　　　　　"</f>
        <v>１０９７　　　　　　　　　　　　　　　　</v>
      </c>
      <c r="L4508" s="1"/>
    </row>
    <row r="4509" spans="1:12" ht="18" customHeight="1" x14ac:dyDescent="0.15">
      <c r="A4509" s="11">
        <v>867</v>
      </c>
      <c r="B4509" s="11" t="s">
        <v>28</v>
      </c>
      <c r="C4509" s="11" t="s">
        <v>145</v>
      </c>
      <c r="D4509" s="11">
        <v>1</v>
      </c>
      <c r="E4509" s="11" t="s">
        <v>4</v>
      </c>
      <c r="F4509" s="12">
        <v>47510</v>
      </c>
      <c r="G4509" s="12">
        <v>47510</v>
      </c>
      <c r="H4509" s="11" t="str">
        <f t="shared" si="144"/>
        <v>平成6年9月22日</v>
      </c>
      <c r="I4509" s="22">
        <f t="shared" si="145"/>
        <v>34599</v>
      </c>
      <c r="J4509" s="1" t="str">
        <f>"00738105"</f>
        <v>00738105</v>
      </c>
      <c r="K4509" s="1" t="str">
        <f>"１０９８　　　　　　　　　　　　　　　　"</f>
        <v>１０９８　　　　　　　　　　　　　　　　</v>
      </c>
      <c r="L4509" s="1"/>
    </row>
    <row r="4510" spans="1:12" ht="18" customHeight="1" x14ac:dyDescent="0.15">
      <c r="A4510" s="11">
        <v>868</v>
      </c>
      <c r="B4510" s="11" t="s">
        <v>28</v>
      </c>
      <c r="C4510" s="11" t="s">
        <v>145</v>
      </c>
      <c r="D4510" s="11">
        <v>1</v>
      </c>
      <c r="E4510" s="11" t="s">
        <v>4</v>
      </c>
      <c r="F4510" s="12">
        <v>47510</v>
      </c>
      <c r="G4510" s="12">
        <v>47510</v>
      </c>
      <c r="H4510" s="11" t="str">
        <f t="shared" si="144"/>
        <v>平成6年9月22日</v>
      </c>
      <c r="I4510" s="22">
        <f t="shared" si="145"/>
        <v>34599</v>
      </c>
      <c r="J4510" s="1" t="str">
        <f>"00738107"</f>
        <v>00738107</v>
      </c>
      <c r="K4510" s="1" t="str">
        <f>"１０９９　　　　　　　　　　　　　　　　"</f>
        <v>１０９９　　　　　　　　　　　　　　　　</v>
      </c>
      <c r="L4510" s="1"/>
    </row>
    <row r="4511" spans="1:12" ht="18" customHeight="1" x14ac:dyDescent="0.15">
      <c r="A4511" s="11">
        <v>869</v>
      </c>
      <c r="B4511" s="11" t="s">
        <v>28</v>
      </c>
      <c r="C4511" s="11" t="s">
        <v>145</v>
      </c>
      <c r="D4511" s="11">
        <v>1</v>
      </c>
      <c r="E4511" s="11" t="s">
        <v>4</v>
      </c>
      <c r="F4511" s="12">
        <v>47510</v>
      </c>
      <c r="G4511" s="12">
        <v>47510</v>
      </c>
      <c r="H4511" s="11" t="str">
        <f t="shared" si="144"/>
        <v>平成6年9月22日</v>
      </c>
      <c r="I4511" s="22">
        <f t="shared" si="145"/>
        <v>34599</v>
      </c>
      <c r="J4511" s="1" t="str">
        <f>"00738109"</f>
        <v>00738109</v>
      </c>
      <c r="K4511" s="1" t="str">
        <f>"１１００　　　　　　　　　　　　　　　　"</f>
        <v>１１００　　　　　　　　　　　　　　　　</v>
      </c>
      <c r="L4511" s="1"/>
    </row>
    <row r="4512" spans="1:12" ht="18" customHeight="1" x14ac:dyDescent="0.15">
      <c r="A4512" s="11">
        <v>870</v>
      </c>
      <c r="B4512" s="11" t="s">
        <v>28</v>
      </c>
      <c r="C4512" s="11" t="s">
        <v>145</v>
      </c>
      <c r="D4512" s="11">
        <v>1</v>
      </c>
      <c r="E4512" s="11" t="s">
        <v>4</v>
      </c>
      <c r="F4512" s="12">
        <v>47510</v>
      </c>
      <c r="G4512" s="12">
        <v>47510</v>
      </c>
      <c r="H4512" s="11" t="str">
        <f t="shared" si="144"/>
        <v>平成6年9月22日</v>
      </c>
      <c r="I4512" s="22">
        <f t="shared" si="145"/>
        <v>34599</v>
      </c>
      <c r="J4512" s="1" t="str">
        <f>"00738111"</f>
        <v>00738111</v>
      </c>
      <c r="K4512" s="1" t="str">
        <f>"１１０１　　　　　　　　　　　　　　　　"</f>
        <v>１１０１　　　　　　　　　　　　　　　　</v>
      </c>
      <c r="L4512" s="1"/>
    </row>
    <row r="4513" spans="1:12" ht="18" customHeight="1" x14ac:dyDescent="0.15">
      <c r="A4513" s="11">
        <v>871</v>
      </c>
      <c r="B4513" s="11" t="s">
        <v>28</v>
      </c>
      <c r="C4513" s="11" t="s">
        <v>145</v>
      </c>
      <c r="D4513" s="11">
        <v>1</v>
      </c>
      <c r="E4513" s="11" t="s">
        <v>4</v>
      </c>
      <c r="F4513" s="12">
        <v>47510</v>
      </c>
      <c r="G4513" s="12">
        <v>47510</v>
      </c>
      <c r="H4513" s="11" t="str">
        <f t="shared" ref="H4513:H4576" si="146">"平成6年9月22日"</f>
        <v>平成6年9月22日</v>
      </c>
      <c r="I4513" s="22">
        <f t="shared" si="145"/>
        <v>34599</v>
      </c>
      <c r="J4513" s="1" t="str">
        <f>"00738113"</f>
        <v>00738113</v>
      </c>
      <c r="K4513" s="1" t="str">
        <f>"１１０２　　　　　　　　　　　　　　　　"</f>
        <v>１１０２　　　　　　　　　　　　　　　　</v>
      </c>
      <c r="L4513" s="1"/>
    </row>
    <row r="4514" spans="1:12" ht="18" customHeight="1" x14ac:dyDescent="0.15">
      <c r="A4514" s="11">
        <v>872</v>
      </c>
      <c r="B4514" s="11" t="s">
        <v>28</v>
      </c>
      <c r="C4514" s="11" t="s">
        <v>145</v>
      </c>
      <c r="D4514" s="11">
        <v>1</v>
      </c>
      <c r="E4514" s="11" t="s">
        <v>4</v>
      </c>
      <c r="F4514" s="12">
        <v>47510</v>
      </c>
      <c r="G4514" s="12">
        <v>47510</v>
      </c>
      <c r="H4514" s="11" t="str">
        <f t="shared" si="146"/>
        <v>平成6年9月22日</v>
      </c>
      <c r="I4514" s="22">
        <f t="shared" si="145"/>
        <v>34599</v>
      </c>
      <c r="J4514" s="1" t="str">
        <f>"00738115"</f>
        <v>00738115</v>
      </c>
      <c r="K4514" s="1" t="str">
        <f>"１１０３　　　　　　　　　　　　　　　　"</f>
        <v>１１０３　　　　　　　　　　　　　　　　</v>
      </c>
      <c r="L4514" s="1"/>
    </row>
    <row r="4515" spans="1:12" ht="18" customHeight="1" x14ac:dyDescent="0.15">
      <c r="A4515" s="11">
        <v>873</v>
      </c>
      <c r="B4515" s="11" t="s">
        <v>28</v>
      </c>
      <c r="C4515" s="11" t="s">
        <v>145</v>
      </c>
      <c r="D4515" s="11">
        <v>1</v>
      </c>
      <c r="E4515" s="11" t="s">
        <v>4</v>
      </c>
      <c r="F4515" s="12">
        <v>47510</v>
      </c>
      <c r="G4515" s="12">
        <v>47510</v>
      </c>
      <c r="H4515" s="11" t="str">
        <f t="shared" si="146"/>
        <v>平成6年9月22日</v>
      </c>
      <c r="I4515" s="22">
        <f t="shared" si="145"/>
        <v>34599</v>
      </c>
      <c r="J4515" s="1" t="str">
        <f>"00738117"</f>
        <v>00738117</v>
      </c>
      <c r="K4515" s="1" t="str">
        <f>"１１０４　　　　　　　　　　　　　　　　"</f>
        <v>１１０４　　　　　　　　　　　　　　　　</v>
      </c>
      <c r="L4515" s="1"/>
    </row>
    <row r="4516" spans="1:12" ht="18" customHeight="1" x14ac:dyDescent="0.15">
      <c r="A4516" s="11">
        <v>874</v>
      </c>
      <c r="B4516" s="11" t="s">
        <v>28</v>
      </c>
      <c r="C4516" s="11" t="s">
        <v>145</v>
      </c>
      <c r="D4516" s="11">
        <v>1</v>
      </c>
      <c r="E4516" s="11" t="s">
        <v>4</v>
      </c>
      <c r="F4516" s="12">
        <v>47510</v>
      </c>
      <c r="G4516" s="12">
        <v>47510</v>
      </c>
      <c r="H4516" s="11" t="str">
        <f t="shared" si="146"/>
        <v>平成6年9月22日</v>
      </c>
      <c r="I4516" s="22">
        <f t="shared" si="145"/>
        <v>34599</v>
      </c>
      <c r="J4516" s="1" t="str">
        <f>"00738119"</f>
        <v>00738119</v>
      </c>
      <c r="K4516" s="1" t="str">
        <f>"１１０５　　　　　　　　　　　　　　　　"</f>
        <v>１１０５　　　　　　　　　　　　　　　　</v>
      </c>
      <c r="L4516" s="1"/>
    </row>
    <row r="4517" spans="1:12" ht="18" customHeight="1" x14ac:dyDescent="0.15">
      <c r="A4517" s="11">
        <v>875</v>
      </c>
      <c r="B4517" s="11" t="s">
        <v>28</v>
      </c>
      <c r="C4517" s="11" t="s">
        <v>145</v>
      </c>
      <c r="D4517" s="11">
        <v>1</v>
      </c>
      <c r="E4517" s="11" t="s">
        <v>4</v>
      </c>
      <c r="F4517" s="12">
        <v>47510</v>
      </c>
      <c r="G4517" s="12">
        <v>47510</v>
      </c>
      <c r="H4517" s="11" t="str">
        <f t="shared" si="146"/>
        <v>平成6年9月22日</v>
      </c>
      <c r="I4517" s="22">
        <f t="shared" si="145"/>
        <v>34599</v>
      </c>
      <c r="J4517" s="1" t="str">
        <f>"00738121"</f>
        <v>00738121</v>
      </c>
      <c r="K4517" s="1" t="str">
        <f>"１１０６　　　　　　　　　　　　　　　　"</f>
        <v>１１０６　　　　　　　　　　　　　　　　</v>
      </c>
      <c r="L4517" s="1"/>
    </row>
    <row r="4518" spans="1:12" ht="18" customHeight="1" x14ac:dyDescent="0.15">
      <c r="A4518" s="11">
        <v>876</v>
      </c>
      <c r="B4518" s="11" t="s">
        <v>28</v>
      </c>
      <c r="C4518" s="11" t="s">
        <v>145</v>
      </c>
      <c r="D4518" s="11">
        <v>1</v>
      </c>
      <c r="E4518" s="11" t="s">
        <v>4</v>
      </c>
      <c r="F4518" s="12">
        <v>47510</v>
      </c>
      <c r="G4518" s="12">
        <v>47510</v>
      </c>
      <c r="H4518" s="11" t="str">
        <f t="shared" si="146"/>
        <v>平成6年9月22日</v>
      </c>
      <c r="I4518" s="22">
        <f t="shared" si="145"/>
        <v>34599</v>
      </c>
      <c r="J4518" s="1" t="str">
        <f>"00738123"</f>
        <v>00738123</v>
      </c>
      <c r="K4518" s="1" t="str">
        <f>"１１０７　　　　　　　　　　　　　　　　"</f>
        <v>１１０７　　　　　　　　　　　　　　　　</v>
      </c>
      <c r="L4518" s="1"/>
    </row>
    <row r="4519" spans="1:12" ht="18" customHeight="1" x14ac:dyDescent="0.15">
      <c r="A4519" s="11">
        <v>877</v>
      </c>
      <c r="B4519" s="11" t="s">
        <v>28</v>
      </c>
      <c r="C4519" s="11" t="s">
        <v>145</v>
      </c>
      <c r="D4519" s="11">
        <v>1</v>
      </c>
      <c r="E4519" s="11" t="s">
        <v>4</v>
      </c>
      <c r="F4519" s="12">
        <v>47510</v>
      </c>
      <c r="G4519" s="12">
        <v>47510</v>
      </c>
      <c r="H4519" s="11" t="str">
        <f t="shared" si="146"/>
        <v>平成6年9月22日</v>
      </c>
      <c r="I4519" s="22">
        <f t="shared" si="145"/>
        <v>34599</v>
      </c>
      <c r="J4519" s="1" t="str">
        <f>"00738125"</f>
        <v>00738125</v>
      </c>
      <c r="K4519" s="1" t="str">
        <f>"１１０８　　　　　　　　　　　　　　　　"</f>
        <v>１１０８　　　　　　　　　　　　　　　　</v>
      </c>
      <c r="L4519" s="1"/>
    </row>
    <row r="4520" spans="1:12" ht="18" customHeight="1" x14ac:dyDescent="0.15">
      <c r="A4520" s="11">
        <v>878</v>
      </c>
      <c r="B4520" s="11" t="s">
        <v>28</v>
      </c>
      <c r="C4520" s="11" t="s">
        <v>145</v>
      </c>
      <c r="D4520" s="11">
        <v>1</v>
      </c>
      <c r="E4520" s="11" t="s">
        <v>4</v>
      </c>
      <c r="F4520" s="12">
        <v>47510</v>
      </c>
      <c r="G4520" s="12">
        <v>47510</v>
      </c>
      <c r="H4520" s="11" t="str">
        <f t="shared" si="146"/>
        <v>平成6年9月22日</v>
      </c>
      <c r="I4520" s="22">
        <f t="shared" si="145"/>
        <v>34599</v>
      </c>
      <c r="J4520" s="1" t="str">
        <f>"00738127"</f>
        <v>00738127</v>
      </c>
      <c r="K4520" s="1" t="str">
        <f>"１１０９　　　　　　　　　　　　　　　　"</f>
        <v>１１０９　　　　　　　　　　　　　　　　</v>
      </c>
      <c r="L4520" s="1"/>
    </row>
    <row r="4521" spans="1:12" ht="18" customHeight="1" x14ac:dyDescent="0.15">
      <c r="A4521" s="11">
        <v>879</v>
      </c>
      <c r="B4521" s="11" t="s">
        <v>28</v>
      </c>
      <c r="C4521" s="11" t="s">
        <v>145</v>
      </c>
      <c r="D4521" s="11">
        <v>1</v>
      </c>
      <c r="E4521" s="11" t="s">
        <v>4</v>
      </c>
      <c r="F4521" s="12">
        <v>47510</v>
      </c>
      <c r="G4521" s="12">
        <v>47510</v>
      </c>
      <c r="H4521" s="11" t="str">
        <f t="shared" si="146"/>
        <v>平成6年9月22日</v>
      </c>
      <c r="I4521" s="22">
        <f t="shared" si="145"/>
        <v>34599</v>
      </c>
      <c r="J4521" s="1" t="str">
        <f>"00738129"</f>
        <v>00738129</v>
      </c>
      <c r="K4521" s="1" t="str">
        <f>"１１１０　　　　　　　　　　　　　　　　"</f>
        <v>１１１０　　　　　　　　　　　　　　　　</v>
      </c>
      <c r="L4521" s="1"/>
    </row>
    <row r="4522" spans="1:12" ht="18" customHeight="1" x14ac:dyDescent="0.15">
      <c r="A4522" s="11">
        <v>880</v>
      </c>
      <c r="B4522" s="11" t="s">
        <v>28</v>
      </c>
      <c r="C4522" s="11" t="s">
        <v>145</v>
      </c>
      <c r="D4522" s="11">
        <v>1</v>
      </c>
      <c r="E4522" s="11" t="s">
        <v>4</v>
      </c>
      <c r="F4522" s="12">
        <v>47510</v>
      </c>
      <c r="G4522" s="12">
        <v>47510</v>
      </c>
      <c r="H4522" s="11" t="str">
        <f t="shared" si="146"/>
        <v>平成6年9月22日</v>
      </c>
      <c r="I4522" s="22">
        <f t="shared" si="145"/>
        <v>34599</v>
      </c>
      <c r="J4522" s="1" t="str">
        <f>"00738131"</f>
        <v>00738131</v>
      </c>
      <c r="K4522" s="1" t="str">
        <f>"１１１１　　　　　　　　　　　　　　　　"</f>
        <v>１１１１　　　　　　　　　　　　　　　　</v>
      </c>
      <c r="L4522" s="1"/>
    </row>
    <row r="4523" spans="1:12" ht="18" customHeight="1" x14ac:dyDescent="0.15">
      <c r="A4523" s="11">
        <v>881</v>
      </c>
      <c r="B4523" s="11" t="s">
        <v>28</v>
      </c>
      <c r="C4523" s="11" t="s">
        <v>145</v>
      </c>
      <c r="D4523" s="11">
        <v>1</v>
      </c>
      <c r="E4523" s="11" t="s">
        <v>4</v>
      </c>
      <c r="F4523" s="12">
        <v>47510</v>
      </c>
      <c r="G4523" s="12">
        <v>47510</v>
      </c>
      <c r="H4523" s="11" t="str">
        <f t="shared" si="146"/>
        <v>平成6年9月22日</v>
      </c>
      <c r="I4523" s="22">
        <f t="shared" si="145"/>
        <v>34599</v>
      </c>
      <c r="J4523" s="1" t="str">
        <f>"00738133"</f>
        <v>00738133</v>
      </c>
      <c r="K4523" s="1" t="str">
        <f>"１１１２　　　　　　　　　　　　　　　　"</f>
        <v>１１１２　　　　　　　　　　　　　　　　</v>
      </c>
      <c r="L4523" s="1"/>
    </row>
    <row r="4524" spans="1:12" ht="18" customHeight="1" x14ac:dyDescent="0.15">
      <c r="A4524" s="11">
        <v>882</v>
      </c>
      <c r="B4524" s="11" t="s">
        <v>28</v>
      </c>
      <c r="C4524" s="11" t="s">
        <v>145</v>
      </c>
      <c r="D4524" s="11">
        <v>1</v>
      </c>
      <c r="E4524" s="11" t="s">
        <v>4</v>
      </c>
      <c r="F4524" s="12">
        <v>47510</v>
      </c>
      <c r="G4524" s="12">
        <v>47510</v>
      </c>
      <c r="H4524" s="11" t="str">
        <f t="shared" si="146"/>
        <v>平成6年9月22日</v>
      </c>
      <c r="I4524" s="22">
        <f t="shared" si="145"/>
        <v>34599</v>
      </c>
      <c r="J4524" s="1" t="str">
        <f>"00738135"</f>
        <v>00738135</v>
      </c>
      <c r="K4524" s="1" t="str">
        <f>"１１１３　　　　　　　　　　　　　　　　"</f>
        <v>１１１３　　　　　　　　　　　　　　　　</v>
      </c>
      <c r="L4524" s="1"/>
    </row>
    <row r="4525" spans="1:12" ht="18" customHeight="1" x14ac:dyDescent="0.15">
      <c r="A4525" s="11">
        <v>883</v>
      </c>
      <c r="B4525" s="11" t="s">
        <v>28</v>
      </c>
      <c r="C4525" s="11" t="s">
        <v>145</v>
      </c>
      <c r="D4525" s="11">
        <v>1</v>
      </c>
      <c r="E4525" s="11" t="s">
        <v>4</v>
      </c>
      <c r="F4525" s="12">
        <v>47510</v>
      </c>
      <c r="G4525" s="12">
        <v>47510</v>
      </c>
      <c r="H4525" s="11" t="str">
        <f t="shared" si="146"/>
        <v>平成6年9月22日</v>
      </c>
      <c r="I4525" s="22">
        <f t="shared" si="145"/>
        <v>34599</v>
      </c>
      <c r="J4525" s="1" t="str">
        <f>"00738137"</f>
        <v>00738137</v>
      </c>
      <c r="K4525" s="1" t="str">
        <f>"１１１４　　　　　　　　　　　　　　　　"</f>
        <v>１１１４　　　　　　　　　　　　　　　　</v>
      </c>
      <c r="L4525" s="1"/>
    </row>
    <row r="4526" spans="1:12" ht="18" customHeight="1" x14ac:dyDescent="0.15">
      <c r="A4526" s="11">
        <v>884</v>
      </c>
      <c r="B4526" s="11" t="s">
        <v>28</v>
      </c>
      <c r="C4526" s="11" t="s">
        <v>145</v>
      </c>
      <c r="D4526" s="11">
        <v>1</v>
      </c>
      <c r="E4526" s="11" t="s">
        <v>4</v>
      </c>
      <c r="F4526" s="12">
        <v>47510</v>
      </c>
      <c r="G4526" s="12">
        <v>47510</v>
      </c>
      <c r="H4526" s="11" t="str">
        <f t="shared" si="146"/>
        <v>平成6年9月22日</v>
      </c>
      <c r="I4526" s="22">
        <f t="shared" si="145"/>
        <v>34599</v>
      </c>
      <c r="J4526" s="1" t="str">
        <f>"00738139"</f>
        <v>00738139</v>
      </c>
      <c r="K4526" s="1" t="str">
        <f>"１１１５　　　　　　　　　　　　　　　　"</f>
        <v>１１１５　　　　　　　　　　　　　　　　</v>
      </c>
      <c r="L4526" s="1"/>
    </row>
    <row r="4527" spans="1:12" ht="18" customHeight="1" x14ac:dyDescent="0.15">
      <c r="A4527" s="11">
        <v>885</v>
      </c>
      <c r="B4527" s="11" t="s">
        <v>28</v>
      </c>
      <c r="C4527" s="11" t="s">
        <v>145</v>
      </c>
      <c r="D4527" s="11">
        <v>1</v>
      </c>
      <c r="E4527" s="11" t="s">
        <v>4</v>
      </c>
      <c r="F4527" s="12">
        <v>47510</v>
      </c>
      <c r="G4527" s="12">
        <v>47510</v>
      </c>
      <c r="H4527" s="11" t="str">
        <f t="shared" si="146"/>
        <v>平成6年9月22日</v>
      </c>
      <c r="I4527" s="22">
        <f t="shared" si="145"/>
        <v>34599</v>
      </c>
      <c r="J4527" s="1" t="str">
        <f>"00738141"</f>
        <v>00738141</v>
      </c>
      <c r="K4527" s="1" t="str">
        <f>"１１１６　　　　　　　　　　　　　　　　"</f>
        <v>１１１６　　　　　　　　　　　　　　　　</v>
      </c>
      <c r="L4527" s="1"/>
    </row>
    <row r="4528" spans="1:12" ht="18" customHeight="1" x14ac:dyDescent="0.15">
      <c r="A4528" s="11">
        <v>886</v>
      </c>
      <c r="B4528" s="11" t="s">
        <v>28</v>
      </c>
      <c r="C4528" s="11" t="s">
        <v>145</v>
      </c>
      <c r="D4528" s="11">
        <v>1</v>
      </c>
      <c r="E4528" s="11" t="s">
        <v>4</v>
      </c>
      <c r="F4528" s="12">
        <v>47510</v>
      </c>
      <c r="G4528" s="12">
        <v>47510</v>
      </c>
      <c r="H4528" s="11" t="str">
        <f t="shared" si="146"/>
        <v>平成6年9月22日</v>
      </c>
      <c r="I4528" s="22">
        <f t="shared" si="145"/>
        <v>34599</v>
      </c>
      <c r="J4528" s="1" t="str">
        <f>"00738143"</f>
        <v>00738143</v>
      </c>
      <c r="K4528" s="1" t="str">
        <f>"１１１７　　　　　　　　　　　　　　　　"</f>
        <v>１１１７　　　　　　　　　　　　　　　　</v>
      </c>
      <c r="L4528" s="1"/>
    </row>
    <row r="4529" spans="1:12" ht="18" customHeight="1" x14ac:dyDescent="0.15">
      <c r="A4529" s="11">
        <v>887</v>
      </c>
      <c r="B4529" s="11" t="s">
        <v>28</v>
      </c>
      <c r="C4529" s="11" t="s">
        <v>145</v>
      </c>
      <c r="D4529" s="11">
        <v>1</v>
      </c>
      <c r="E4529" s="11" t="s">
        <v>4</v>
      </c>
      <c r="F4529" s="12">
        <v>47510</v>
      </c>
      <c r="G4529" s="12">
        <v>47510</v>
      </c>
      <c r="H4529" s="11" t="str">
        <f t="shared" si="146"/>
        <v>平成6年9月22日</v>
      </c>
      <c r="I4529" s="22">
        <f t="shared" si="145"/>
        <v>34599</v>
      </c>
      <c r="J4529" s="1" t="str">
        <f>"00738145"</f>
        <v>00738145</v>
      </c>
      <c r="K4529" s="1" t="str">
        <f>"１１１８　　　　　　　　　　　　　　　　"</f>
        <v>１１１８　　　　　　　　　　　　　　　　</v>
      </c>
      <c r="L4529" s="1"/>
    </row>
    <row r="4530" spans="1:12" ht="18" customHeight="1" x14ac:dyDescent="0.15">
      <c r="A4530" s="11">
        <v>888</v>
      </c>
      <c r="B4530" s="11" t="s">
        <v>28</v>
      </c>
      <c r="C4530" s="11" t="s">
        <v>145</v>
      </c>
      <c r="D4530" s="11">
        <v>1</v>
      </c>
      <c r="E4530" s="11" t="s">
        <v>4</v>
      </c>
      <c r="F4530" s="12">
        <v>47510</v>
      </c>
      <c r="G4530" s="12">
        <v>47510</v>
      </c>
      <c r="H4530" s="11" t="str">
        <f t="shared" si="146"/>
        <v>平成6年9月22日</v>
      </c>
      <c r="I4530" s="22">
        <f t="shared" si="145"/>
        <v>34599</v>
      </c>
      <c r="J4530" s="1" t="str">
        <f>"00738147"</f>
        <v>00738147</v>
      </c>
      <c r="K4530" s="1" t="str">
        <f>"１１１９　　　　　　　　　　　　　　　　"</f>
        <v>１１１９　　　　　　　　　　　　　　　　</v>
      </c>
      <c r="L4530" s="1"/>
    </row>
    <row r="4531" spans="1:12" ht="18" customHeight="1" x14ac:dyDescent="0.15">
      <c r="A4531" s="11">
        <v>889</v>
      </c>
      <c r="B4531" s="11" t="s">
        <v>28</v>
      </c>
      <c r="C4531" s="11" t="s">
        <v>145</v>
      </c>
      <c r="D4531" s="11">
        <v>1</v>
      </c>
      <c r="E4531" s="11" t="s">
        <v>4</v>
      </c>
      <c r="F4531" s="12">
        <v>47510</v>
      </c>
      <c r="G4531" s="12">
        <v>47510</v>
      </c>
      <c r="H4531" s="11" t="str">
        <f t="shared" si="146"/>
        <v>平成6年9月22日</v>
      </c>
      <c r="I4531" s="22">
        <f t="shared" si="145"/>
        <v>34599</v>
      </c>
      <c r="J4531" s="1" t="str">
        <f>"00738149"</f>
        <v>00738149</v>
      </c>
      <c r="K4531" s="1" t="str">
        <f>"１１２０　　　　　　　　　　　　　　　　"</f>
        <v>１１２０　　　　　　　　　　　　　　　　</v>
      </c>
      <c r="L4531" s="1"/>
    </row>
    <row r="4532" spans="1:12" ht="18" customHeight="1" x14ac:dyDescent="0.15">
      <c r="A4532" s="11">
        <v>890</v>
      </c>
      <c r="B4532" s="11" t="s">
        <v>28</v>
      </c>
      <c r="C4532" s="11" t="s">
        <v>145</v>
      </c>
      <c r="D4532" s="11">
        <v>1</v>
      </c>
      <c r="E4532" s="11" t="s">
        <v>4</v>
      </c>
      <c r="F4532" s="12">
        <v>47510</v>
      </c>
      <c r="G4532" s="12">
        <v>47510</v>
      </c>
      <c r="H4532" s="11" t="str">
        <f t="shared" si="146"/>
        <v>平成6年9月22日</v>
      </c>
      <c r="I4532" s="22">
        <f t="shared" si="145"/>
        <v>34599</v>
      </c>
      <c r="J4532" s="1" t="str">
        <f>"00738151"</f>
        <v>00738151</v>
      </c>
      <c r="K4532" s="1" t="str">
        <f>"１１２１　　　　　　　　　　　　　　　　"</f>
        <v>１１２１　　　　　　　　　　　　　　　　</v>
      </c>
      <c r="L4532" s="1"/>
    </row>
    <row r="4533" spans="1:12" ht="18" customHeight="1" x14ac:dyDescent="0.15">
      <c r="A4533" s="11">
        <v>891</v>
      </c>
      <c r="B4533" s="11" t="s">
        <v>28</v>
      </c>
      <c r="C4533" s="11" t="s">
        <v>145</v>
      </c>
      <c r="D4533" s="11">
        <v>1</v>
      </c>
      <c r="E4533" s="11" t="s">
        <v>4</v>
      </c>
      <c r="F4533" s="12">
        <v>47510</v>
      </c>
      <c r="G4533" s="12">
        <v>47510</v>
      </c>
      <c r="H4533" s="11" t="str">
        <f t="shared" si="146"/>
        <v>平成6年9月22日</v>
      </c>
      <c r="I4533" s="22">
        <f t="shared" si="145"/>
        <v>34599</v>
      </c>
      <c r="J4533" s="1" t="str">
        <f>"00738153"</f>
        <v>00738153</v>
      </c>
      <c r="K4533" s="1" t="str">
        <f>"１１２２　　　　　　　　　　　　　　　　"</f>
        <v>１１２２　　　　　　　　　　　　　　　　</v>
      </c>
      <c r="L4533" s="1"/>
    </row>
    <row r="4534" spans="1:12" ht="18" customHeight="1" x14ac:dyDescent="0.15">
      <c r="A4534" s="11">
        <v>892</v>
      </c>
      <c r="B4534" s="11" t="s">
        <v>28</v>
      </c>
      <c r="C4534" s="11" t="s">
        <v>145</v>
      </c>
      <c r="D4534" s="11">
        <v>1</v>
      </c>
      <c r="E4534" s="11" t="s">
        <v>4</v>
      </c>
      <c r="F4534" s="12">
        <v>47510</v>
      </c>
      <c r="G4534" s="12">
        <v>47510</v>
      </c>
      <c r="H4534" s="11" t="str">
        <f t="shared" si="146"/>
        <v>平成6年9月22日</v>
      </c>
      <c r="I4534" s="22">
        <f t="shared" si="145"/>
        <v>34599</v>
      </c>
      <c r="J4534" s="1" t="str">
        <f>"00738155"</f>
        <v>00738155</v>
      </c>
      <c r="K4534" s="1" t="str">
        <f>"１１２３　　　　　　　　　　　　　　　　"</f>
        <v>１１２３　　　　　　　　　　　　　　　　</v>
      </c>
      <c r="L4534" s="1"/>
    </row>
    <row r="4535" spans="1:12" ht="18" customHeight="1" x14ac:dyDescent="0.15">
      <c r="A4535" s="11">
        <v>893</v>
      </c>
      <c r="B4535" s="11" t="s">
        <v>28</v>
      </c>
      <c r="C4535" s="11" t="s">
        <v>145</v>
      </c>
      <c r="D4535" s="11">
        <v>1</v>
      </c>
      <c r="E4535" s="11" t="s">
        <v>4</v>
      </c>
      <c r="F4535" s="12">
        <v>47510</v>
      </c>
      <c r="G4535" s="12">
        <v>47510</v>
      </c>
      <c r="H4535" s="11" t="str">
        <f t="shared" si="146"/>
        <v>平成6年9月22日</v>
      </c>
      <c r="I4535" s="22">
        <f t="shared" si="145"/>
        <v>34599</v>
      </c>
      <c r="J4535" s="1" t="str">
        <f>"00738157"</f>
        <v>00738157</v>
      </c>
      <c r="K4535" s="1" t="str">
        <f>"１１２４　　　　　　　　　　　　　　　　"</f>
        <v>１１２４　　　　　　　　　　　　　　　　</v>
      </c>
      <c r="L4535" s="1"/>
    </row>
    <row r="4536" spans="1:12" ht="18" customHeight="1" x14ac:dyDescent="0.15">
      <c r="A4536" s="11">
        <v>894</v>
      </c>
      <c r="B4536" s="11" t="s">
        <v>28</v>
      </c>
      <c r="C4536" s="11" t="s">
        <v>145</v>
      </c>
      <c r="D4536" s="11">
        <v>1</v>
      </c>
      <c r="E4536" s="11" t="s">
        <v>4</v>
      </c>
      <c r="F4536" s="12">
        <v>47510</v>
      </c>
      <c r="G4536" s="12">
        <v>47510</v>
      </c>
      <c r="H4536" s="11" t="str">
        <f t="shared" si="146"/>
        <v>平成6年9月22日</v>
      </c>
      <c r="I4536" s="22">
        <f t="shared" si="145"/>
        <v>34599</v>
      </c>
      <c r="J4536" s="1" t="str">
        <f>"00738159"</f>
        <v>00738159</v>
      </c>
      <c r="K4536" s="1" t="str">
        <f>"１１２５　　　　　　　　　　　　　　　　"</f>
        <v>１１２５　　　　　　　　　　　　　　　　</v>
      </c>
      <c r="L4536" s="1"/>
    </row>
    <row r="4537" spans="1:12" ht="18" customHeight="1" x14ac:dyDescent="0.15">
      <c r="A4537" s="11">
        <v>895</v>
      </c>
      <c r="B4537" s="11" t="s">
        <v>28</v>
      </c>
      <c r="C4537" s="11" t="s">
        <v>145</v>
      </c>
      <c r="D4537" s="11">
        <v>1</v>
      </c>
      <c r="E4537" s="11" t="s">
        <v>4</v>
      </c>
      <c r="F4537" s="12">
        <v>47510</v>
      </c>
      <c r="G4537" s="12">
        <v>47510</v>
      </c>
      <c r="H4537" s="11" t="str">
        <f t="shared" si="146"/>
        <v>平成6年9月22日</v>
      </c>
      <c r="I4537" s="22">
        <f t="shared" si="145"/>
        <v>34599</v>
      </c>
      <c r="J4537" s="1" t="str">
        <f>"00738161"</f>
        <v>00738161</v>
      </c>
      <c r="K4537" s="1" t="str">
        <f>"１１２６　　　　　　　　　　　　　　　　"</f>
        <v>１１２６　　　　　　　　　　　　　　　　</v>
      </c>
      <c r="L4537" s="1"/>
    </row>
    <row r="4538" spans="1:12" ht="18" customHeight="1" x14ac:dyDescent="0.15">
      <c r="A4538" s="11">
        <v>896</v>
      </c>
      <c r="B4538" s="11" t="s">
        <v>28</v>
      </c>
      <c r="C4538" s="11" t="s">
        <v>145</v>
      </c>
      <c r="D4538" s="11">
        <v>1</v>
      </c>
      <c r="E4538" s="11" t="s">
        <v>4</v>
      </c>
      <c r="F4538" s="12">
        <v>47510</v>
      </c>
      <c r="G4538" s="12">
        <v>47510</v>
      </c>
      <c r="H4538" s="11" t="str">
        <f t="shared" si="146"/>
        <v>平成6年9月22日</v>
      </c>
      <c r="I4538" s="22">
        <f t="shared" si="145"/>
        <v>34599</v>
      </c>
      <c r="J4538" s="1" t="str">
        <f>"00738163"</f>
        <v>00738163</v>
      </c>
      <c r="K4538" s="1" t="str">
        <f>"１１２７　　　　　　　　　　　　　　　　"</f>
        <v>１１２７　　　　　　　　　　　　　　　　</v>
      </c>
      <c r="L4538" s="1"/>
    </row>
    <row r="4539" spans="1:12" ht="18" customHeight="1" x14ac:dyDescent="0.15">
      <c r="A4539" s="11">
        <v>897</v>
      </c>
      <c r="B4539" s="11" t="s">
        <v>28</v>
      </c>
      <c r="C4539" s="11" t="s">
        <v>145</v>
      </c>
      <c r="D4539" s="11">
        <v>1</v>
      </c>
      <c r="E4539" s="11" t="s">
        <v>4</v>
      </c>
      <c r="F4539" s="12">
        <v>47510</v>
      </c>
      <c r="G4539" s="12">
        <v>47510</v>
      </c>
      <c r="H4539" s="11" t="str">
        <f t="shared" si="146"/>
        <v>平成6年9月22日</v>
      </c>
      <c r="I4539" s="22">
        <f t="shared" si="145"/>
        <v>34599</v>
      </c>
      <c r="J4539" s="1" t="str">
        <f>"00738165"</f>
        <v>00738165</v>
      </c>
      <c r="K4539" s="1" t="str">
        <f>"１１２８　　　　　　　　　　　　　　　　"</f>
        <v>１１２８　　　　　　　　　　　　　　　　</v>
      </c>
      <c r="L4539" s="1"/>
    </row>
    <row r="4540" spans="1:12" ht="18" customHeight="1" x14ac:dyDescent="0.15">
      <c r="A4540" s="11">
        <v>898</v>
      </c>
      <c r="B4540" s="11" t="s">
        <v>28</v>
      </c>
      <c r="C4540" s="11" t="s">
        <v>145</v>
      </c>
      <c r="D4540" s="11">
        <v>1</v>
      </c>
      <c r="E4540" s="11" t="s">
        <v>4</v>
      </c>
      <c r="F4540" s="12">
        <v>47510</v>
      </c>
      <c r="G4540" s="12">
        <v>47510</v>
      </c>
      <c r="H4540" s="11" t="str">
        <f t="shared" si="146"/>
        <v>平成6年9月22日</v>
      </c>
      <c r="I4540" s="22">
        <f t="shared" si="145"/>
        <v>34599</v>
      </c>
      <c r="J4540" s="1" t="str">
        <f>"00738167"</f>
        <v>00738167</v>
      </c>
      <c r="K4540" s="1" t="str">
        <f>"１１２９　　　　　　　　　　　　　　　　"</f>
        <v>１１２９　　　　　　　　　　　　　　　　</v>
      </c>
      <c r="L4540" s="1"/>
    </row>
    <row r="4541" spans="1:12" ht="18" customHeight="1" x14ac:dyDescent="0.15">
      <c r="A4541" s="11">
        <v>899</v>
      </c>
      <c r="B4541" s="11" t="s">
        <v>28</v>
      </c>
      <c r="C4541" s="11" t="s">
        <v>145</v>
      </c>
      <c r="D4541" s="11">
        <v>1</v>
      </c>
      <c r="E4541" s="11" t="s">
        <v>4</v>
      </c>
      <c r="F4541" s="12">
        <v>47510</v>
      </c>
      <c r="G4541" s="12">
        <v>47510</v>
      </c>
      <c r="H4541" s="11" t="str">
        <f t="shared" si="146"/>
        <v>平成6年9月22日</v>
      </c>
      <c r="I4541" s="22">
        <f t="shared" si="145"/>
        <v>34599</v>
      </c>
      <c r="J4541" s="1" t="str">
        <f>"00738169"</f>
        <v>00738169</v>
      </c>
      <c r="K4541" s="1" t="str">
        <f>"１１３０　　　　　　　　　　　　　　　　"</f>
        <v>１１３０　　　　　　　　　　　　　　　　</v>
      </c>
      <c r="L4541" s="1"/>
    </row>
    <row r="4542" spans="1:12" ht="18" customHeight="1" x14ac:dyDescent="0.15">
      <c r="A4542" s="11">
        <v>900</v>
      </c>
      <c r="B4542" s="11" t="s">
        <v>28</v>
      </c>
      <c r="C4542" s="11" t="s">
        <v>145</v>
      </c>
      <c r="D4542" s="11">
        <v>1</v>
      </c>
      <c r="E4542" s="11" t="s">
        <v>4</v>
      </c>
      <c r="F4542" s="12">
        <v>47510</v>
      </c>
      <c r="G4542" s="12">
        <v>47510</v>
      </c>
      <c r="H4542" s="11" t="str">
        <f t="shared" si="146"/>
        <v>平成6年9月22日</v>
      </c>
      <c r="I4542" s="22">
        <f t="shared" si="145"/>
        <v>34599</v>
      </c>
      <c r="J4542" s="1" t="str">
        <f>"00738171"</f>
        <v>00738171</v>
      </c>
      <c r="K4542" s="1" t="str">
        <f>"１１３１　　　　　　　　　　　　　　　　"</f>
        <v>１１３１　　　　　　　　　　　　　　　　</v>
      </c>
      <c r="L4542" s="1"/>
    </row>
    <row r="4543" spans="1:12" ht="18" customHeight="1" x14ac:dyDescent="0.15">
      <c r="A4543" s="11">
        <v>901</v>
      </c>
      <c r="B4543" s="11" t="s">
        <v>28</v>
      </c>
      <c r="C4543" s="11" t="s">
        <v>145</v>
      </c>
      <c r="D4543" s="11">
        <v>1</v>
      </c>
      <c r="E4543" s="11" t="s">
        <v>4</v>
      </c>
      <c r="F4543" s="12">
        <v>47510</v>
      </c>
      <c r="G4543" s="12">
        <v>47510</v>
      </c>
      <c r="H4543" s="11" t="str">
        <f t="shared" si="146"/>
        <v>平成6年9月22日</v>
      </c>
      <c r="I4543" s="22">
        <f t="shared" si="145"/>
        <v>34599</v>
      </c>
      <c r="J4543" s="1" t="str">
        <f>"00738173"</f>
        <v>00738173</v>
      </c>
      <c r="K4543" s="1" t="str">
        <f>"１１３２　　　　　　　　　　　　　　　　"</f>
        <v>１１３２　　　　　　　　　　　　　　　　</v>
      </c>
      <c r="L4543" s="1"/>
    </row>
    <row r="4544" spans="1:12" ht="18" customHeight="1" x14ac:dyDescent="0.15">
      <c r="A4544" s="11">
        <v>902</v>
      </c>
      <c r="B4544" s="11" t="s">
        <v>28</v>
      </c>
      <c r="C4544" s="11" t="s">
        <v>145</v>
      </c>
      <c r="D4544" s="11">
        <v>1</v>
      </c>
      <c r="E4544" s="11" t="s">
        <v>4</v>
      </c>
      <c r="F4544" s="12">
        <v>47510</v>
      </c>
      <c r="G4544" s="12">
        <v>47510</v>
      </c>
      <c r="H4544" s="11" t="str">
        <f t="shared" si="146"/>
        <v>平成6年9月22日</v>
      </c>
      <c r="I4544" s="22">
        <f t="shared" si="145"/>
        <v>34599</v>
      </c>
      <c r="J4544" s="1" t="str">
        <f>"00738175"</f>
        <v>00738175</v>
      </c>
      <c r="K4544" s="1" t="str">
        <f>"１１３３　　　　　　　　　　　　　　　　"</f>
        <v>１１３３　　　　　　　　　　　　　　　　</v>
      </c>
      <c r="L4544" s="1"/>
    </row>
    <row r="4545" spans="1:12" ht="18" customHeight="1" x14ac:dyDescent="0.15">
      <c r="A4545" s="11">
        <v>903</v>
      </c>
      <c r="B4545" s="11" t="s">
        <v>28</v>
      </c>
      <c r="C4545" s="11" t="s">
        <v>145</v>
      </c>
      <c r="D4545" s="11">
        <v>1</v>
      </c>
      <c r="E4545" s="11" t="s">
        <v>4</v>
      </c>
      <c r="F4545" s="12">
        <v>47510</v>
      </c>
      <c r="G4545" s="12">
        <v>47510</v>
      </c>
      <c r="H4545" s="11" t="str">
        <f t="shared" si="146"/>
        <v>平成6年9月22日</v>
      </c>
      <c r="I4545" s="22">
        <f t="shared" si="145"/>
        <v>34599</v>
      </c>
      <c r="J4545" s="1" t="str">
        <f>"00738177"</f>
        <v>00738177</v>
      </c>
      <c r="K4545" s="1" t="str">
        <f>"１１３４　　　　　　　　　　　　　　　　"</f>
        <v>１１３４　　　　　　　　　　　　　　　　</v>
      </c>
      <c r="L4545" s="1"/>
    </row>
    <row r="4546" spans="1:12" ht="18" customHeight="1" x14ac:dyDescent="0.15">
      <c r="A4546" s="11">
        <v>904</v>
      </c>
      <c r="B4546" s="11" t="s">
        <v>28</v>
      </c>
      <c r="C4546" s="11" t="s">
        <v>145</v>
      </c>
      <c r="D4546" s="11">
        <v>1</v>
      </c>
      <c r="E4546" s="11" t="s">
        <v>4</v>
      </c>
      <c r="F4546" s="12">
        <v>47510</v>
      </c>
      <c r="G4546" s="12">
        <v>47510</v>
      </c>
      <c r="H4546" s="11" t="str">
        <f t="shared" si="146"/>
        <v>平成6年9月22日</v>
      </c>
      <c r="I4546" s="22">
        <f t="shared" si="145"/>
        <v>34599</v>
      </c>
      <c r="J4546" s="1" t="str">
        <f>"00738179"</f>
        <v>00738179</v>
      </c>
      <c r="K4546" s="1" t="str">
        <f>"１１３５　　　　　　　　　　　　　　　　"</f>
        <v>１１３５　　　　　　　　　　　　　　　　</v>
      </c>
      <c r="L4546" s="1"/>
    </row>
    <row r="4547" spans="1:12" ht="18" customHeight="1" x14ac:dyDescent="0.15">
      <c r="A4547" s="11">
        <v>905</v>
      </c>
      <c r="B4547" s="11" t="s">
        <v>28</v>
      </c>
      <c r="C4547" s="11" t="s">
        <v>145</v>
      </c>
      <c r="D4547" s="11">
        <v>1</v>
      </c>
      <c r="E4547" s="11" t="s">
        <v>4</v>
      </c>
      <c r="F4547" s="12">
        <v>47510</v>
      </c>
      <c r="G4547" s="12">
        <v>47510</v>
      </c>
      <c r="H4547" s="11" t="str">
        <f t="shared" si="146"/>
        <v>平成6年9月22日</v>
      </c>
      <c r="I4547" s="22">
        <f t="shared" si="145"/>
        <v>34599</v>
      </c>
      <c r="J4547" s="1" t="str">
        <f>"00738181"</f>
        <v>00738181</v>
      </c>
      <c r="K4547" s="1" t="str">
        <f>"１１３６　　　　　　　　　　　　　　　　"</f>
        <v>１１３６　　　　　　　　　　　　　　　　</v>
      </c>
      <c r="L4547" s="1"/>
    </row>
    <row r="4548" spans="1:12" ht="18" customHeight="1" x14ac:dyDescent="0.15">
      <c r="A4548" s="11">
        <v>906</v>
      </c>
      <c r="B4548" s="11" t="s">
        <v>28</v>
      </c>
      <c r="C4548" s="11" t="s">
        <v>145</v>
      </c>
      <c r="D4548" s="11">
        <v>1</v>
      </c>
      <c r="E4548" s="11" t="s">
        <v>4</v>
      </c>
      <c r="F4548" s="12">
        <v>47510</v>
      </c>
      <c r="G4548" s="12">
        <v>47510</v>
      </c>
      <c r="H4548" s="11" t="str">
        <f t="shared" si="146"/>
        <v>平成6年9月22日</v>
      </c>
      <c r="I4548" s="22">
        <f t="shared" si="145"/>
        <v>34599</v>
      </c>
      <c r="J4548" s="1" t="str">
        <f>"00738183"</f>
        <v>00738183</v>
      </c>
      <c r="K4548" s="1" t="str">
        <f>"１１３７　　　　　　　　　　　　　　　　"</f>
        <v>１１３７　　　　　　　　　　　　　　　　</v>
      </c>
      <c r="L4548" s="1"/>
    </row>
    <row r="4549" spans="1:12" ht="18" customHeight="1" x14ac:dyDescent="0.15">
      <c r="A4549" s="11">
        <v>907</v>
      </c>
      <c r="B4549" s="11" t="s">
        <v>28</v>
      </c>
      <c r="C4549" s="11" t="s">
        <v>145</v>
      </c>
      <c r="D4549" s="11">
        <v>1</v>
      </c>
      <c r="E4549" s="11" t="s">
        <v>4</v>
      </c>
      <c r="F4549" s="12">
        <v>47510</v>
      </c>
      <c r="G4549" s="12">
        <v>47510</v>
      </c>
      <c r="H4549" s="11" t="str">
        <f t="shared" si="146"/>
        <v>平成6年9月22日</v>
      </c>
      <c r="I4549" s="22">
        <f t="shared" si="145"/>
        <v>34599</v>
      </c>
      <c r="J4549" s="1" t="str">
        <f>"00738185"</f>
        <v>00738185</v>
      </c>
      <c r="K4549" s="1" t="str">
        <f>"１１３８　　　　　　　　　　　　　　　　"</f>
        <v>１１３８　　　　　　　　　　　　　　　　</v>
      </c>
      <c r="L4549" s="1"/>
    </row>
    <row r="4550" spans="1:12" ht="18" customHeight="1" x14ac:dyDescent="0.15">
      <c r="A4550" s="11">
        <v>908</v>
      </c>
      <c r="B4550" s="11" t="s">
        <v>28</v>
      </c>
      <c r="C4550" s="11" t="s">
        <v>145</v>
      </c>
      <c r="D4550" s="11">
        <v>1</v>
      </c>
      <c r="E4550" s="11" t="s">
        <v>4</v>
      </c>
      <c r="F4550" s="12">
        <v>47510</v>
      </c>
      <c r="G4550" s="12">
        <v>47510</v>
      </c>
      <c r="H4550" s="11" t="str">
        <f t="shared" si="146"/>
        <v>平成6年9月22日</v>
      </c>
      <c r="I4550" s="22">
        <f t="shared" si="145"/>
        <v>34599</v>
      </c>
      <c r="J4550" s="1" t="str">
        <f>"00738187"</f>
        <v>00738187</v>
      </c>
      <c r="K4550" s="1" t="str">
        <f>"１１３９　　　　　　　　　　　　　　　　"</f>
        <v>１１３９　　　　　　　　　　　　　　　　</v>
      </c>
      <c r="L4550" s="1"/>
    </row>
    <row r="4551" spans="1:12" ht="18" customHeight="1" x14ac:dyDescent="0.15">
      <c r="A4551" s="11">
        <v>909</v>
      </c>
      <c r="B4551" s="11" t="s">
        <v>28</v>
      </c>
      <c r="C4551" s="11" t="s">
        <v>145</v>
      </c>
      <c r="D4551" s="11">
        <v>1</v>
      </c>
      <c r="E4551" s="11" t="s">
        <v>4</v>
      </c>
      <c r="F4551" s="12">
        <v>47510</v>
      </c>
      <c r="G4551" s="12">
        <v>47510</v>
      </c>
      <c r="H4551" s="11" t="str">
        <f t="shared" si="146"/>
        <v>平成6年9月22日</v>
      </c>
      <c r="I4551" s="22">
        <f t="shared" si="145"/>
        <v>34599</v>
      </c>
      <c r="J4551" s="1" t="str">
        <f>"00738189"</f>
        <v>00738189</v>
      </c>
      <c r="K4551" s="1" t="str">
        <f>"１１４０　　　　　　　　　　　　　　　　"</f>
        <v>１１４０　　　　　　　　　　　　　　　　</v>
      </c>
      <c r="L4551" s="1"/>
    </row>
    <row r="4552" spans="1:12" ht="18" customHeight="1" x14ac:dyDescent="0.15">
      <c r="A4552" s="11">
        <v>910</v>
      </c>
      <c r="B4552" s="11" t="s">
        <v>28</v>
      </c>
      <c r="C4552" s="11" t="s">
        <v>145</v>
      </c>
      <c r="D4552" s="11">
        <v>1</v>
      </c>
      <c r="E4552" s="11" t="s">
        <v>4</v>
      </c>
      <c r="F4552" s="12">
        <v>47510</v>
      </c>
      <c r="G4552" s="12">
        <v>47510</v>
      </c>
      <c r="H4552" s="11" t="str">
        <f t="shared" si="146"/>
        <v>平成6年9月22日</v>
      </c>
      <c r="I4552" s="22">
        <f t="shared" si="145"/>
        <v>34599</v>
      </c>
      <c r="J4552" s="1" t="str">
        <f>"00738191"</f>
        <v>00738191</v>
      </c>
      <c r="K4552" s="1" t="str">
        <f>"１１４１　　　　　　　　　　　　　　　　"</f>
        <v>１１４１　　　　　　　　　　　　　　　　</v>
      </c>
      <c r="L4552" s="1"/>
    </row>
    <row r="4553" spans="1:12" ht="18" customHeight="1" x14ac:dyDescent="0.15">
      <c r="A4553" s="11">
        <v>911</v>
      </c>
      <c r="B4553" s="11" t="s">
        <v>28</v>
      </c>
      <c r="C4553" s="11" t="s">
        <v>145</v>
      </c>
      <c r="D4553" s="11">
        <v>1</v>
      </c>
      <c r="E4553" s="11" t="s">
        <v>4</v>
      </c>
      <c r="F4553" s="12">
        <v>47510</v>
      </c>
      <c r="G4553" s="12">
        <v>47510</v>
      </c>
      <c r="H4553" s="11" t="str">
        <f t="shared" si="146"/>
        <v>平成6年9月22日</v>
      </c>
      <c r="I4553" s="22">
        <f t="shared" si="145"/>
        <v>34599</v>
      </c>
      <c r="J4553" s="1" t="str">
        <f>"00738193"</f>
        <v>00738193</v>
      </c>
      <c r="K4553" s="1" t="str">
        <f>"１１４２　　　　　　　　　　　　　　　　"</f>
        <v>１１４２　　　　　　　　　　　　　　　　</v>
      </c>
      <c r="L4553" s="1"/>
    </row>
    <row r="4554" spans="1:12" ht="18" customHeight="1" x14ac:dyDescent="0.15">
      <c r="A4554" s="11">
        <v>912</v>
      </c>
      <c r="B4554" s="11" t="s">
        <v>28</v>
      </c>
      <c r="C4554" s="11" t="s">
        <v>145</v>
      </c>
      <c r="D4554" s="11">
        <v>1</v>
      </c>
      <c r="E4554" s="11" t="s">
        <v>4</v>
      </c>
      <c r="F4554" s="12">
        <v>47510</v>
      </c>
      <c r="G4554" s="12">
        <v>47510</v>
      </c>
      <c r="H4554" s="11" t="str">
        <f t="shared" si="146"/>
        <v>平成6年9月22日</v>
      </c>
      <c r="I4554" s="22">
        <f t="shared" si="145"/>
        <v>34599</v>
      </c>
      <c r="J4554" s="1" t="str">
        <f>"00738195"</f>
        <v>00738195</v>
      </c>
      <c r="K4554" s="1" t="str">
        <f>"１１４３　　　　　　　　　　　　　　　　"</f>
        <v>１１４３　　　　　　　　　　　　　　　　</v>
      </c>
      <c r="L4554" s="1"/>
    </row>
    <row r="4555" spans="1:12" ht="18" customHeight="1" x14ac:dyDescent="0.15">
      <c r="A4555" s="11">
        <v>913</v>
      </c>
      <c r="B4555" s="11" t="s">
        <v>28</v>
      </c>
      <c r="C4555" s="11" t="s">
        <v>145</v>
      </c>
      <c r="D4555" s="11">
        <v>1</v>
      </c>
      <c r="E4555" s="11" t="s">
        <v>4</v>
      </c>
      <c r="F4555" s="12">
        <v>47510</v>
      </c>
      <c r="G4555" s="12">
        <v>47510</v>
      </c>
      <c r="H4555" s="11" t="str">
        <f t="shared" si="146"/>
        <v>平成6年9月22日</v>
      </c>
      <c r="I4555" s="22">
        <f t="shared" si="145"/>
        <v>34599</v>
      </c>
      <c r="J4555" s="1" t="str">
        <f>"00738197"</f>
        <v>00738197</v>
      </c>
      <c r="K4555" s="1" t="str">
        <f>"１１４４　　　　　　　　　　　　　　　　"</f>
        <v>１１４４　　　　　　　　　　　　　　　　</v>
      </c>
      <c r="L4555" s="1"/>
    </row>
    <row r="4556" spans="1:12" ht="18" customHeight="1" x14ac:dyDescent="0.15">
      <c r="A4556" s="11">
        <v>914</v>
      </c>
      <c r="B4556" s="11" t="s">
        <v>28</v>
      </c>
      <c r="C4556" s="11" t="s">
        <v>145</v>
      </c>
      <c r="D4556" s="11">
        <v>1</v>
      </c>
      <c r="E4556" s="11" t="s">
        <v>4</v>
      </c>
      <c r="F4556" s="12">
        <v>47510</v>
      </c>
      <c r="G4556" s="12">
        <v>47510</v>
      </c>
      <c r="H4556" s="11" t="str">
        <f t="shared" si="146"/>
        <v>平成6年9月22日</v>
      </c>
      <c r="I4556" s="22">
        <f t="shared" si="145"/>
        <v>34599</v>
      </c>
      <c r="J4556" s="1" t="str">
        <f>"00738199"</f>
        <v>00738199</v>
      </c>
      <c r="K4556" s="1" t="str">
        <f>"１１４５　　　　　　　　　　　　　　　　"</f>
        <v>１１４５　　　　　　　　　　　　　　　　</v>
      </c>
      <c r="L4556" s="1"/>
    </row>
    <row r="4557" spans="1:12" ht="18" customHeight="1" x14ac:dyDescent="0.15">
      <c r="A4557" s="11">
        <v>915</v>
      </c>
      <c r="B4557" s="11" t="s">
        <v>28</v>
      </c>
      <c r="C4557" s="11" t="s">
        <v>145</v>
      </c>
      <c r="D4557" s="11">
        <v>1</v>
      </c>
      <c r="E4557" s="11" t="s">
        <v>4</v>
      </c>
      <c r="F4557" s="12">
        <v>47510</v>
      </c>
      <c r="G4557" s="12">
        <v>47510</v>
      </c>
      <c r="H4557" s="11" t="str">
        <f t="shared" si="146"/>
        <v>平成6年9月22日</v>
      </c>
      <c r="I4557" s="22">
        <f t="shared" si="145"/>
        <v>34599</v>
      </c>
      <c r="J4557" s="1" t="str">
        <f>"00738201"</f>
        <v>00738201</v>
      </c>
      <c r="K4557" s="1" t="str">
        <f>"１１４６　　　　　　　　　　　　　　　　"</f>
        <v>１１４６　　　　　　　　　　　　　　　　</v>
      </c>
      <c r="L4557" s="1"/>
    </row>
    <row r="4558" spans="1:12" ht="18" customHeight="1" x14ac:dyDescent="0.15">
      <c r="A4558" s="11">
        <v>916</v>
      </c>
      <c r="B4558" s="11" t="s">
        <v>28</v>
      </c>
      <c r="C4558" s="11" t="s">
        <v>145</v>
      </c>
      <c r="D4558" s="11">
        <v>1</v>
      </c>
      <c r="E4558" s="11" t="s">
        <v>4</v>
      </c>
      <c r="F4558" s="12">
        <v>47510</v>
      </c>
      <c r="G4558" s="12">
        <v>47510</v>
      </c>
      <c r="H4558" s="11" t="str">
        <f t="shared" si="146"/>
        <v>平成6年9月22日</v>
      </c>
      <c r="I4558" s="22">
        <f t="shared" si="145"/>
        <v>34599</v>
      </c>
      <c r="J4558" s="1" t="str">
        <f>"00738203"</f>
        <v>00738203</v>
      </c>
      <c r="K4558" s="1" t="str">
        <f>"１１４７　　　　　　　　　　　　　　　　"</f>
        <v>１１４７　　　　　　　　　　　　　　　　</v>
      </c>
      <c r="L4558" s="1"/>
    </row>
    <row r="4559" spans="1:12" ht="18" customHeight="1" x14ac:dyDescent="0.15">
      <c r="A4559" s="11">
        <v>917</v>
      </c>
      <c r="B4559" s="11" t="s">
        <v>28</v>
      </c>
      <c r="C4559" s="11" t="s">
        <v>145</v>
      </c>
      <c r="D4559" s="11">
        <v>1</v>
      </c>
      <c r="E4559" s="11" t="s">
        <v>4</v>
      </c>
      <c r="F4559" s="12">
        <v>47510</v>
      </c>
      <c r="G4559" s="12">
        <v>47510</v>
      </c>
      <c r="H4559" s="11" t="str">
        <f t="shared" si="146"/>
        <v>平成6年9月22日</v>
      </c>
      <c r="I4559" s="22">
        <f t="shared" si="145"/>
        <v>34599</v>
      </c>
      <c r="J4559" s="1" t="str">
        <f>"00738205"</f>
        <v>00738205</v>
      </c>
      <c r="K4559" s="1" t="str">
        <f>"１１４８　　　　　　　　　　　　　　　　"</f>
        <v>１１４８　　　　　　　　　　　　　　　　</v>
      </c>
      <c r="L4559" s="1"/>
    </row>
    <row r="4560" spans="1:12" ht="18" customHeight="1" x14ac:dyDescent="0.15">
      <c r="A4560" s="11">
        <v>918</v>
      </c>
      <c r="B4560" s="11" t="s">
        <v>28</v>
      </c>
      <c r="C4560" s="11" t="s">
        <v>145</v>
      </c>
      <c r="D4560" s="11">
        <v>1</v>
      </c>
      <c r="E4560" s="11" t="s">
        <v>4</v>
      </c>
      <c r="F4560" s="12">
        <v>47510</v>
      </c>
      <c r="G4560" s="12">
        <v>47510</v>
      </c>
      <c r="H4560" s="11" t="str">
        <f t="shared" si="146"/>
        <v>平成6年9月22日</v>
      </c>
      <c r="I4560" s="22">
        <f t="shared" si="145"/>
        <v>34599</v>
      </c>
      <c r="J4560" s="1" t="str">
        <f>"00738207"</f>
        <v>00738207</v>
      </c>
      <c r="K4560" s="1" t="str">
        <f>"１１４９　　　　　　　　　　　　　　　　"</f>
        <v>１１４９　　　　　　　　　　　　　　　　</v>
      </c>
      <c r="L4560" s="1"/>
    </row>
    <row r="4561" spans="1:12" ht="18" customHeight="1" x14ac:dyDescent="0.15">
      <c r="A4561" s="11">
        <v>919</v>
      </c>
      <c r="B4561" s="11" t="s">
        <v>28</v>
      </c>
      <c r="C4561" s="11" t="s">
        <v>145</v>
      </c>
      <c r="D4561" s="11">
        <v>1</v>
      </c>
      <c r="E4561" s="11" t="s">
        <v>4</v>
      </c>
      <c r="F4561" s="12">
        <v>47510</v>
      </c>
      <c r="G4561" s="12">
        <v>47510</v>
      </c>
      <c r="H4561" s="11" t="str">
        <f t="shared" si="146"/>
        <v>平成6年9月22日</v>
      </c>
      <c r="I4561" s="22">
        <f t="shared" si="145"/>
        <v>34599</v>
      </c>
      <c r="J4561" s="1" t="str">
        <f>"00738209"</f>
        <v>00738209</v>
      </c>
      <c r="K4561" s="1" t="str">
        <f>"１１５０　　　　　　　　　　　　　　　　"</f>
        <v>１１５０　　　　　　　　　　　　　　　　</v>
      </c>
      <c r="L4561" s="1"/>
    </row>
    <row r="4562" spans="1:12" ht="18" customHeight="1" x14ac:dyDescent="0.15">
      <c r="A4562" s="11">
        <v>920</v>
      </c>
      <c r="B4562" s="11" t="s">
        <v>28</v>
      </c>
      <c r="C4562" s="11" t="s">
        <v>145</v>
      </c>
      <c r="D4562" s="11">
        <v>1</v>
      </c>
      <c r="E4562" s="11" t="s">
        <v>4</v>
      </c>
      <c r="F4562" s="12">
        <v>47510</v>
      </c>
      <c r="G4562" s="12">
        <v>47510</v>
      </c>
      <c r="H4562" s="11" t="str">
        <f t="shared" si="146"/>
        <v>平成6年9月22日</v>
      </c>
      <c r="I4562" s="22">
        <f t="shared" ref="I4562:I4625" si="147">DATEVALUE(H4562)</f>
        <v>34599</v>
      </c>
      <c r="J4562" s="1" t="str">
        <f>"00738211"</f>
        <v>00738211</v>
      </c>
      <c r="K4562" s="1" t="str">
        <f>"１１５１　　　　　　　　　　　　　　　　"</f>
        <v>１１５１　　　　　　　　　　　　　　　　</v>
      </c>
      <c r="L4562" s="1"/>
    </row>
    <row r="4563" spans="1:12" ht="18" customHeight="1" x14ac:dyDescent="0.15">
      <c r="A4563" s="11">
        <v>921</v>
      </c>
      <c r="B4563" s="11" t="s">
        <v>28</v>
      </c>
      <c r="C4563" s="11" t="s">
        <v>145</v>
      </c>
      <c r="D4563" s="11">
        <v>1</v>
      </c>
      <c r="E4563" s="11" t="s">
        <v>4</v>
      </c>
      <c r="F4563" s="12">
        <v>47510</v>
      </c>
      <c r="G4563" s="12">
        <v>47510</v>
      </c>
      <c r="H4563" s="11" t="str">
        <f t="shared" si="146"/>
        <v>平成6年9月22日</v>
      </c>
      <c r="I4563" s="22">
        <f t="shared" si="147"/>
        <v>34599</v>
      </c>
      <c r="J4563" s="1" t="str">
        <f>"00738213"</f>
        <v>00738213</v>
      </c>
      <c r="K4563" s="1" t="str">
        <f>"１１５２　　　　　　　　　　　　　　　　"</f>
        <v>１１５２　　　　　　　　　　　　　　　　</v>
      </c>
      <c r="L4563" s="1"/>
    </row>
    <row r="4564" spans="1:12" ht="18" customHeight="1" x14ac:dyDescent="0.15">
      <c r="A4564" s="11">
        <v>922</v>
      </c>
      <c r="B4564" s="11" t="s">
        <v>28</v>
      </c>
      <c r="C4564" s="11" t="s">
        <v>145</v>
      </c>
      <c r="D4564" s="11">
        <v>1</v>
      </c>
      <c r="E4564" s="11" t="s">
        <v>4</v>
      </c>
      <c r="F4564" s="12">
        <v>47510</v>
      </c>
      <c r="G4564" s="12">
        <v>47510</v>
      </c>
      <c r="H4564" s="11" t="str">
        <f t="shared" si="146"/>
        <v>平成6年9月22日</v>
      </c>
      <c r="I4564" s="22">
        <f t="shared" si="147"/>
        <v>34599</v>
      </c>
      <c r="J4564" s="1" t="str">
        <f>"00738215"</f>
        <v>00738215</v>
      </c>
      <c r="K4564" s="1" t="str">
        <f>"１１５３　　　　　　　　　　　　　　　　"</f>
        <v>１１５３　　　　　　　　　　　　　　　　</v>
      </c>
      <c r="L4564" s="1"/>
    </row>
    <row r="4565" spans="1:12" ht="18" customHeight="1" x14ac:dyDescent="0.15">
      <c r="A4565" s="11">
        <v>923</v>
      </c>
      <c r="B4565" s="11" t="s">
        <v>28</v>
      </c>
      <c r="C4565" s="11" t="s">
        <v>145</v>
      </c>
      <c r="D4565" s="11">
        <v>1</v>
      </c>
      <c r="E4565" s="11" t="s">
        <v>4</v>
      </c>
      <c r="F4565" s="12">
        <v>47510</v>
      </c>
      <c r="G4565" s="12">
        <v>47510</v>
      </c>
      <c r="H4565" s="11" t="str">
        <f t="shared" si="146"/>
        <v>平成6年9月22日</v>
      </c>
      <c r="I4565" s="22">
        <f t="shared" si="147"/>
        <v>34599</v>
      </c>
      <c r="J4565" s="1" t="str">
        <f>"00738217"</f>
        <v>00738217</v>
      </c>
      <c r="K4565" s="1" t="str">
        <f>"１１５４　　　　　　　　　　　　　　　　"</f>
        <v>１１５４　　　　　　　　　　　　　　　　</v>
      </c>
      <c r="L4565" s="1"/>
    </row>
    <row r="4566" spans="1:12" ht="18" customHeight="1" x14ac:dyDescent="0.15">
      <c r="A4566" s="11">
        <v>924</v>
      </c>
      <c r="B4566" s="11" t="s">
        <v>28</v>
      </c>
      <c r="C4566" s="11" t="s">
        <v>145</v>
      </c>
      <c r="D4566" s="11">
        <v>1</v>
      </c>
      <c r="E4566" s="11" t="s">
        <v>4</v>
      </c>
      <c r="F4566" s="12">
        <v>47510</v>
      </c>
      <c r="G4566" s="12">
        <v>47510</v>
      </c>
      <c r="H4566" s="11" t="str">
        <f t="shared" si="146"/>
        <v>平成6年9月22日</v>
      </c>
      <c r="I4566" s="22">
        <f t="shared" si="147"/>
        <v>34599</v>
      </c>
      <c r="J4566" s="1" t="str">
        <f>"00738219"</f>
        <v>00738219</v>
      </c>
      <c r="K4566" s="1" t="str">
        <f>"１１５５　　　　　　　　　　　　　　　　"</f>
        <v>１１５５　　　　　　　　　　　　　　　　</v>
      </c>
      <c r="L4566" s="1"/>
    </row>
    <row r="4567" spans="1:12" ht="18" customHeight="1" x14ac:dyDescent="0.15">
      <c r="A4567" s="11">
        <v>925</v>
      </c>
      <c r="B4567" s="11" t="s">
        <v>28</v>
      </c>
      <c r="C4567" s="11" t="s">
        <v>145</v>
      </c>
      <c r="D4567" s="11">
        <v>1</v>
      </c>
      <c r="E4567" s="11" t="s">
        <v>4</v>
      </c>
      <c r="F4567" s="12">
        <v>47510</v>
      </c>
      <c r="G4567" s="12">
        <v>47510</v>
      </c>
      <c r="H4567" s="11" t="str">
        <f t="shared" si="146"/>
        <v>平成6年9月22日</v>
      </c>
      <c r="I4567" s="22">
        <f t="shared" si="147"/>
        <v>34599</v>
      </c>
      <c r="J4567" s="1" t="str">
        <f>"00738221"</f>
        <v>00738221</v>
      </c>
      <c r="K4567" s="1" t="str">
        <f>"１１５６　　　　　　　　　　　　　　　　"</f>
        <v>１１５６　　　　　　　　　　　　　　　　</v>
      </c>
      <c r="L4567" s="1"/>
    </row>
    <row r="4568" spans="1:12" ht="18" customHeight="1" x14ac:dyDescent="0.15">
      <c r="A4568" s="11">
        <v>926</v>
      </c>
      <c r="B4568" s="11" t="s">
        <v>28</v>
      </c>
      <c r="C4568" s="11" t="s">
        <v>145</v>
      </c>
      <c r="D4568" s="11">
        <v>1</v>
      </c>
      <c r="E4568" s="11" t="s">
        <v>4</v>
      </c>
      <c r="F4568" s="12">
        <v>47510</v>
      </c>
      <c r="G4568" s="12">
        <v>47510</v>
      </c>
      <c r="H4568" s="11" t="str">
        <f t="shared" si="146"/>
        <v>平成6年9月22日</v>
      </c>
      <c r="I4568" s="22">
        <f t="shared" si="147"/>
        <v>34599</v>
      </c>
      <c r="J4568" s="1" t="str">
        <f>"00738222"</f>
        <v>00738222</v>
      </c>
      <c r="K4568" s="1" t="str">
        <f>"１１５７　　　　　　　　　　　　　　　　"</f>
        <v>１１５７　　　　　　　　　　　　　　　　</v>
      </c>
      <c r="L4568" s="1"/>
    </row>
    <row r="4569" spans="1:12" ht="18" customHeight="1" x14ac:dyDescent="0.15">
      <c r="A4569" s="11">
        <v>927</v>
      </c>
      <c r="B4569" s="11" t="s">
        <v>28</v>
      </c>
      <c r="C4569" s="11" t="s">
        <v>145</v>
      </c>
      <c r="D4569" s="11">
        <v>1</v>
      </c>
      <c r="E4569" s="11" t="s">
        <v>4</v>
      </c>
      <c r="F4569" s="12">
        <v>47510</v>
      </c>
      <c r="G4569" s="12">
        <v>47510</v>
      </c>
      <c r="H4569" s="11" t="str">
        <f t="shared" si="146"/>
        <v>平成6年9月22日</v>
      </c>
      <c r="I4569" s="22">
        <f t="shared" si="147"/>
        <v>34599</v>
      </c>
      <c r="J4569" s="1" t="str">
        <f>"00738225"</f>
        <v>00738225</v>
      </c>
      <c r="K4569" s="1" t="str">
        <f>"１１５８　　　　　　　　　　　　　　　　"</f>
        <v>１１５８　　　　　　　　　　　　　　　　</v>
      </c>
      <c r="L4569" s="1"/>
    </row>
    <row r="4570" spans="1:12" ht="18" customHeight="1" x14ac:dyDescent="0.15">
      <c r="A4570" s="11">
        <v>928</v>
      </c>
      <c r="B4570" s="11" t="s">
        <v>28</v>
      </c>
      <c r="C4570" s="11" t="s">
        <v>145</v>
      </c>
      <c r="D4570" s="11">
        <v>1</v>
      </c>
      <c r="E4570" s="11" t="s">
        <v>4</v>
      </c>
      <c r="F4570" s="12">
        <v>47510</v>
      </c>
      <c r="G4570" s="12">
        <v>47510</v>
      </c>
      <c r="H4570" s="11" t="str">
        <f t="shared" si="146"/>
        <v>平成6年9月22日</v>
      </c>
      <c r="I4570" s="22">
        <f t="shared" si="147"/>
        <v>34599</v>
      </c>
      <c r="J4570" s="1" t="str">
        <f>"00738227"</f>
        <v>00738227</v>
      </c>
      <c r="K4570" s="1" t="str">
        <f>"１１５９　　　　　　　　　　　　　　　　"</f>
        <v>１１５９　　　　　　　　　　　　　　　　</v>
      </c>
      <c r="L4570" s="1"/>
    </row>
    <row r="4571" spans="1:12" ht="18" customHeight="1" x14ac:dyDescent="0.15">
      <c r="A4571" s="11">
        <v>929</v>
      </c>
      <c r="B4571" s="11" t="s">
        <v>28</v>
      </c>
      <c r="C4571" s="11" t="s">
        <v>145</v>
      </c>
      <c r="D4571" s="11">
        <v>1</v>
      </c>
      <c r="E4571" s="11" t="s">
        <v>4</v>
      </c>
      <c r="F4571" s="12">
        <v>47510</v>
      </c>
      <c r="G4571" s="12">
        <v>47510</v>
      </c>
      <c r="H4571" s="11" t="str">
        <f t="shared" si="146"/>
        <v>平成6年9月22日</v>
      </c>
      <c r="I4571" s="22">
        <f t="shared" si="147"/>
        <v>34599</v>
      </c>
      <c r="J4571" s="1" t="str">
        <f>"00738229"</f>
        <v>00738229</v>
      </c>
      <c r="K4571" s="1" t="str">
        <f>"１１６０　　　　　　　　　　　　　　　　"</f>
        <v>１１６０　　　　　　　　　　　　　　　　</v>
      </c>
      <c r="L4571" s="1"/>
    </row>
    <row r="4572" spans="1:12" ht="18" customHeight="1" x14ac:dyDescent="0.15">
      <c r="A4572" s="11">
        <v>930</v>
      </c>
      <c r="B4572" s="11" t="s">
        <v>28</v>
      </c>
      <c r="C4572" s="11" t="s">
        <v>145</v>
      </c>
      <c r="D4572" s="11">
        <v>1</v>
      </c>
      <c r="E4572" s="11" t="s">
        <v>4</v>
      </c>
      <c r="F4572" s="12">
        <v>47510</v>
      </c>
      <c r="G4572" s="12">
        <v>47510</v>
      </c>
      <c r="H4572" s="11" t="str">
        <f t="shared" si="146"/>
        <v>平成6年9月22日</v>
      </c>
      <c r="I4572" s="22">
        <f t="shared" si="147"/>
        <v>34599</v>
      </c>
      <c r="J4572" s="1" t="str">
        <f>"00738230"</f>
        <v>00738230</v>
      </c>
      <c r="K4572" s="1" t="str">
        <f>"１１６１　　　　　　　　　　　　　　　　"</f>
        <v>１１６１　　　　　　　　　　　　　　　　</v>
      </c>
      <c r="L4572" s="1"/>
    </row>
    <row r="4573" spans="1:12" ht="18" customHeight="1" x14ac:dyDescent="0.15">
      <c r="A4573" s="11">
        <v>931</v>
      </c>
      <c r="B4573" s="11" t="s">
        <v>28</v>
      </c>
      <c r="C4573" s="11" t="s">
        <v>145</v>
      </c>
      <c r="D4573" s="11">
        <v>1</v>
      </c>
      <c r="E4573" s="11" t="s">
        <v>4</v>
      </c>
      <c r="F4573" s="12">
        <v>47510</v>
      </c>
      <c r="G4573" s="12">
        <v>47510</v>
      </c>
      <c r="H4573" s="11" t="str">
        <f t="shared" si="146"/>
        <v>平成6年9月22日</v>
      </c>
      <c r="I4573" s="22">
        <f t="shared" si="147"/>
        <v>34599</v>
      </c>
      <c r="J4573" s="1" t="str">
        <f>"00738233"</f>
        <v>00738233</v>
      </c>
      <c r="K4573" s="1" t="str">
        <f>"１１６２　　　　　　　　　　　　　　　　"</f>
        <v>１１６２　　　　　　　　　　　　　　　　</v>
      </c>
      <c r="L4573" s="1"/>
    </row>
    <row r="4574" spans="1:12" ht="18" customHeight="1" x14ac:dyDescent="0.15">
      <c r="A4574" s="11">
        <v>932</v>
      </c>
      <c r="B4574" s="11" t="s">
        <v>28</v>
      </c>
      <c r="C4574" s="11" t="s">
        <v>145</v>
      </c>
      <c r="D4574" s="11">
        <v>1</v>
      </c>
      <c r="E4574" s="11" t="s">
        <v>4</v>
      </c>
      <c r="F4574" s="12">
        <v>47510</v>
      </c>
      <c r="G4574" s="12">
        <v>47510</v>
      </c>
      <c r="H4574" s="11" t="str">
        <f t="shared" si="146"/>
        <v>平成6年9月22日</v>
      </c>
      <c r="I4574" s="22">
        <f t="shared" si="147"/>
        <v>34599</v>
      </c>
      <c r="J4574" s="1" t="str">
        <f>"00738235"</f>
        <v>00738235</v>
      </c>
      <c r="K4574" s="1" t="str">
        <f>"１１６３　　　　　　　　　　　　　　　　"</f>
        <v>１１６３　　　　　　　　　　　　　　　　</v>
      </c>
      <c r="L4574" s="1"/>
    </row>
    <row r="4575" spans="1:12" ht="18" customHeight="1" x14ac:dyDescent="0.15">
      <c r="A4575" s="11">
        <v>933</v>
      </c>
      <c r="B4575" s="11" t="s">
        <v>28</v>
      </c>
      <c r="C4575" s="11" t="s">
        <v>145</v>
      </c>
      <c r="D4575" s="11">
        <v>1</v>
      </c>
      <c r="E4575" s="11" t="s">
        <v>4</v>
      </c>
      <c r="F4575" s="12">
        <v>47510</v>
      </c>
      <c r="G4575" s="12">
        <v>47510</v>
      </c>
      <c r="H4575" s="11" t="str">
        <f t="shared" si="146"/>
        <v>平成6年9月22日</v>
      </c>
      <c r="I4575" s="22">
        <f t="shared" si="147"/>
        <v>34599</v>
      </c>
      <c r="J4575" s="1" t="str">
        <f>"00738236"</f>
        <v>00738236</v>
      </c>
      <c r="K4575" s="1" t="str">
        <f>"１１６４　　　　　　　　　　　　　　　　"</f>
        <v>１１６４　　　　　　　　　　　　　　　　</v>
      </c>
      <c r="L4575" s="1"/>
    </row>
    <row r="4576" spans="1:12" ht="18" customHeight="1" x14ac:dyDescent="0.15">
      <c r="A4576" s="11">
        <v>934</v>
      </c>
      <c r="B4576" s="11" t="s">
        <v>28</v>
      </c>
      <c r="C4576" s="11" t="s">
        <v>145</v>
      </c>
      <c r="D4576" s="11">
        <v>1</v>
      </c>
      <c r="E4576" s="11" t="s">
        <v>4</v>
      </c>
      <c r="F4576" s="12">
        <v>47510</v>
      </c>
      <c r="G4576" s="12">
        <v>47510</v>
      </c>
      <c r="H4576" s="11" t="str">
        <f t="shared" si="146"/>
        <v>平成6年9月22日</v>
      </c>
      <c r="I4576" s="22">
        <f t="shared" si="147"/>
        <v>34599</v>
      </c>
      <c r="J4576" s="1" t="str">
        <f>"00738239"</f>
        <v>00738239</v>
      </c>
      <c r="K4576" s="1" t="str">
        <f>"１１６５　　　　　　　　　　　　　　　　"</f>
        <v>１１６５　　　　　　　　　　　　　　　　</v>
      </c>
      <c r="L4576" s="1"/>
    </row>
    <row r="4577" spans="1:12" ht="18" customHeight="1" x14ac:dyDescent="0.15">
      <c r="A4577" s="11">
        <v>935</v>
      </c>
      <c r="B4577" s="11" t="s">
        <v>28</v>
      </c>
      <c r="C4577" s="11" t="s">
        <v>145</v>
      </c>
      <c r="D4577" s="11">
        <v>1</v>
      </c>
      <c r="E4577" s="11" t="s">
        <v>4</v>
      </c>
      <c r="F4577" s="12">
        <v>47510</v>
      </c>
      <c r="G4577" s="12">
        <v>47510</v>
      </c>
      <c r="H4577" s="11" t="str">
        <f t="shared" ref="H4577:H4640" si="148">"平成6年9月22日"</f>
        <v>平成6年9月22日</v>
      </c>
      <c r="I4577" s="22">
        <f t="shared" si="147"/>
        <v>34599</v>
      </c>
      <c r="J4577" s="1" t="str">
        <f>"00738240"</f>
        <v>00738240</v>
      </c>
      <c r="K4577" s="1" t="str">
        <f>"１１６６　　　　　　　　　　　　　　　　"</f>
        <v>１１６６　　　　　　　　　　　　　　　　</v>
      </c>
      <c r="L4577" s="1"/>
    </row>
    <row r="4578" spans="1:12" ht="18" customHeight="1" x14ac:dyDescent="0.15">
      <c r="A4578" s="11">
        <v>936</v>
      </c>
      <c r="B4578" s="11" t="s">
        <v>28</v>
      </c>
      <c r="C4578" s="11" t="s">
        <v>145</v>
      </c>
      <c r="D4578" s="11">
        <v>1</v>
      </c>
      <c r="E4578" s="11" t="s">
        <v>4</v>
      </c>
      <c r="F4578" s="12">
        <v>47510</v>
      </c>
      <c r="G4578" s="12">
        <v>47510</v>
      </c>
      <c r="H4578" s="11" t="str">
        <f t="shared" si="148"/>
        <v>平成6年9月22日</v>
      </c>
      <c r="I4578" s="22">
        <f t="shared" si="147"/>
        <v>34599</v>
      </c>
      <c r="J4578" s="1" t="str">
        <f>"00738242"</f>
        <v>00738242</v>
      </c>
      <c r="K4578" s="1" t="str">
        <f>"１１６７　　　　　　　　　　　　　　　　"</f>
        <v>１１６７　　　　　　　　　　　　　　　　</v>
      </c>
      <c r="L4578" s="1"/>
    </row>
    <row r="4579" spans="1:12" ht="18" customHeight="1" x14ac:dyDescent="0.15">
      <c r="A4579" s="11">
        <v>937</v>
      </c>
      <c r="B4579" s="11" t="s">
        <v>28</v>
      </c>
      <c r="C4579" s="11" t="s">
        <v>145</v>
      </c>
      <c r="D4579" s="11">
        <v>1</v>
      </c>
      <c r="E4579" s="11" t="s">
        <v>4</v>
      </c>
      <c r="F4579" s="12">
        <v>47510</v>
      </c>
      <c r="G4579" s="12">
        <v>47510</v>
      </c>
      <c r="H4579" s="11" t="str">
        <f t="shared" si="148"/>
        <v>平成6年9月22日</v>
      </c>
      <c r="I4579" s="22">
        <f t="shared" si="147"/>
        <v>34599</v>
      </c>
      <c r="J4579" s="1" t="str">
        <f>"00738245"</f>
        <v>00738245</v>
      </c>
      <c r="K4579" s="1" t="str">
        <f>"１１６８　　　　　　　　　　　　　　　　"</f>
        <v>１１６８　　　　　　　　　　　　　　　　</v>
      </c>
      <c r="L4579" s="1"/>
    </row>
    <row r="4580" spans="1:12" ht="18" customHeight="1" x14ac:dyDescent="0.15">
      <c r="A4580" s="11">
        <v>938</v>
      </c>
      <c r="B4580" s="11" t="s">
        <v>28</v>
      </c>
      <c r="C4580" s="11" t="s">
        <v>145</v>
      </c>
      <c r="D4580" s="11">
        <v>1</v>
      </c>
      <c r="E4580" s="11" t="s">
        <v>4</v>
      </c>
      <c r="F4580" s="12">
        <v>47510</v>
      </c>
      <c r="G4580" s="12">
        <v>47510</v>
      </c>
      <c r="H4580" s="11" t="str">
        <f t="shared" si="148"/>
        <v>平成6年9月22日</v>
      </c>
      <c r="I4580" s="22">
        <f t="shared" si="147"/>
        <v>34599</v>
      </c>
      <c r="J4580" s="1" t="str">
        <f>"00738246"</f>
        <v>00738246</v>
      </c>
      <c r="K4580" s="1" t="str">
        <f>"１１６９　　　　　　　　　　　　　　　　"</f>
        <v>１１６９　　　　　　　　　　　　　　　　</v>
      </c>
      <c r="L4580" s="1"/>
    </row>
    <row r="4581" spans="1:12" ht="18" customHeight="1" x14ac:dyDescent="0.15">
      <c r="A4581" s="11">
        <v>939</v>
      </c>
      <c r="B4581" s="11" t="s">
        <v>28</v>
      </c>
      <c r="C4581" s="11" t="s">
        <v>145</v>
      </c>
      <c r="D4581" s="11">
        <v>1</v>
      </c>
      <c r="E4581" s="11" t="s">
        <v>4</v>
      </c>
      <c r="F4581" s="12">
        <v>47510</v>
      </c>
      <c r="G4581" s="12">
        <v>47510</v>
      </c>
      <c r="H4581" s="11" t="str">
        <f t="shared" si="148"/>
        <v>平成6年9月22日</v>
      </c>
      <c r="I4581" s="22">
        <f t="shared" si="147"/>
        <v>34599</v>
      </c>
      <c r="J4581" s="1" t="str">
        <f>"00738249"</f>
        <v>00738249</v>
      </c>
      <c r="K4581" s="1" t="str">
        <f>"１１７０　　　　　　　　　　　　　　　　"</f>
        <v>１１７０　　　　　　　　　　　　　　　　</v>
      </c>
      <c r="L4581" s="1"/>
    </row>
    <row r="4582" spans="1:12" ht="18" customHeight="1" x14ac:dyDescent="0.15">
      <c r="A4582" s="11">
        <v>940</v>
      </c>
      <c r="B4582" s="11" t="s">
        <v>28</v>
      </c>
      <c r="C4582" s="11" t="s">
        <v>145</v>
      </c>
      <c r="D4582" s="11">
        <v>1</v>
      </c>
      <c r="E4582" s="11" t="s">
        <v>4</v>
      </c>
      <c r="F4582" s="12">
        <v>47510</v>
      </c>
      <c r="G4582" s="12">
        <v>47510</v>
      </c>
      <c r="H4582" s="11" t="str">
        <f t="shared" si="148"/>
        <v>平成6年9月22日</v>
      </c>
      <c r="I4582" s="22">
        <f t="shared" si="147"/>
        <v>34599</v>
      </c>
      <c r="J4582" s="1" t="str">
        <f>"00738251"</f>
        <v>00738251</v>
      </c>
      <c r="K4582" s="1" t="str">
        <f>"１１７１　　　　　　　　　　　　　　　　"</f>
        <v>１１７１　　　　　　　　　　　　　　　　</v>
      </c>
      <c r="L4582" s="1"/>
    </row>
    <row r="4583" spans="1:12" ht="18" customHeight="1" x14ac:dyDescent="0.15">
      <c r="A4583" s="11">
        <v>941</v>
      </c>
      <c r="B4583" s="11" t="s">
        <v>28</v>
      </c>
      <c r="C4583" s="11" t="s">
        <v>145</v>
      </c>
      <c r="D4583" s="11">
        <v>1</v>
      </c>
      <c r="E4583" s="11" t="s">
        <v>4</v>
      </c>
      <c r="F4583" s="12">
        <v>47510</v>
      </c>
      <c r="G4583" s="12">
        <v>47510</v>
      </c>
      <c r="H4583" s="11" t="str">
        <f t="shared" si="148"/>
        <v>平成6年9月22日</v>
      </c>
      <c r="I4583" s="22">
        <f t="shared" si="147"/>
        <v>34599</v>
      </c>
      <c r="J4583" s="1" t="str">
        <f>"00738252"</f>
        <v>00738252</v>
      </c>
      <c r="K4583" s="1" t="str">
        <f>"１１７２　　　　　　　　　　　　　　　　"</f>
        <v>１１７２　　　　　　　　　　　　　　　　</v>
      </c>
      <c r="L4583" s="1"/>
    </row>
    <row r="4584" spans="1:12" ht="18" customHeight="1" x14ac:dyDescent="0.15">
      <c r="A4584" s="11">
        <v>942</v>
      </c>
      <c r="B4584" s="11" t="s">
        <v>28</v>
      </c>
      <c r="C4584" s="11" t="s">
        <v>145</v>
      </c>
      <c r="D4584" s="11">
        <v>1</v>
      </c>
      <c r="E4584" s="11" t="s">
        <v>4</v>
      </c>
      <c r="F4584" s="12">
        <v>47510</v>
      </c>
      <c r="G4584" s="12">
        <v>47510</v>
      </c>
      <c r="H4584" s="11" t="str">
        <f t="shared" si="148"/>
        <v>平成6年9月22日</v>
      </c>
      <c r="I4584" s="22">
        <f t="shared" si="147"/>
        <v>34599</v>
      </c>
      <c r="J4584" s="1" t="str">
        <f>"00738254"</f>
        <v>00738254</v>
      </c>
      <c r="K4584" s="1" t="str">
        <f>"１１７３　　　　　　　　　　　　　　　　"</f>
        <v>１１７３　　　　　　　　　　　　　　　　</v>
      </c>
      <c r="L4584" s="1"/>
    </row>
    <row r="4585" spans="1:12" ht="18" customHeight="1" x14ac:dyDescent="0.15">
      <c r="A4585" s="11">
        <v>943</v>
      </c>
      <c r="B4585" s="11" t="s">
        <v>28</v>
      </c>
      <c r="C4585" s="11" t="s">
        <v>145</v>
      </c>
      <c r="D4585" s="11">
        <v>1</v>
      </c>
      <c r="E4585" s="11" t="s">
        <v>4</v>
      </c>
      <c r="F4585" s="12">
        <v>47510</v>
      </c>
      <c r="G4585" s="12">
        <v>47510</v>
      </c>
      <c r="H4585" s="11" t="str">
        <f t="shared" si="148"/>
        <v>平成6年9月22日</v>
      </c>
      <c r="I4585" s="22">
        <f t="shared" si="147"/>
        <v>34599</v>
      </c>
      <c r="J4585" s="1" t="str">
        <f>"00738257"</f>
        <v>00738257</v>
      </c>
      <c r="K4585" s="1" t="str">
        <f>"１１７４　　　　　　　　　　　　　　　　"</f>
        <v>１１７４　　　　　　　　　　　　　　　　</v>
      </c>
      <c r="L4585" s="1"/>
    </row>
    <row r="4586" spans="1:12" ht="18" customHeight="1" x14ac:dyDescent="0.15">
      <c r="A4586" s="11">
        <v>944</v>
      </c>
      <c r="B4586" s="11" t="s">
        <v>28</v>
      </c>
      <c r="C4586" s="11" t="s">
        <v>145</v>
      </c>
      <c r="D4586" s="11">
        <v>1</v>
      </c>
      <c r="E4586" s="11" t="s">
        <v>4</v>
      </c>
      <c r="F4586" s="12">
        <v>47510</v>
      </c>
      <c r="G4586" s="12">
        <v>47510</v>
      </c>
      <c r="H4586" s="11" t="str">
        <f t="shared" si="148"/>
        <v>平成6年9月22日</v>
      </c>
      <c r="I4586" s="22">
        <f t="shared" si="147"/>
        <v>34599</v>
      </c>
      <c r="J4586" s="1" t="str">
        <f>"00738258"</f>
        <v>00738258</v>
      </c>
      <c r="K4586" s="1" t="str">
        <f>"１１７５　　　　　　　　　　　　　　　　"</f>
        <v>１１７５　　　　　　　　　　　　　　　　</v>
      </c>
      <c r="L4586" s="1"/>
    </row>
    <row r="4587" spans="1:12" ht="18" customHeight="1" x14ac:dyDescent="0.15">
      <c r="A4587" s="11">
        <v>945</v>
      </c>
      <c r="B4587" s="11" t="s">
        <v>28</v>
      </c>
      <c r="C4587" s="11" t="s">
        <v>145</v>
      </c>
      <c r="D4587" s="11">
        <v>1</v>
      </c>
      <c r="E4587" s="11" t="s">
        <v>4</v>
      </c>
      <c r="F4587" s="12">
        <v>47510</v>
      </c>
      <c r="G4587" s="12">
        <v>47510</v>
      </c>
      <c r="H4587" s="11" t="str">
        <f t="shared" si="148"/>
        <v>平成6年9月22日</v>
      </c>
      <c r="I4587" s="22">
        <f t="shared" si="147"/>
        <v>34599</v>
      </c>
      <c r="J4587" s="1" t="str">
        <f>"00738260"</f>
        <v>00738260</v>
      </c>
      <c r="K4587" s="1" t="str">
        <f>"１１７６　　　　　　　　　　　　　　　　"</f>
        <v>１１７６　　　　　　　　　　　　　　　　</v>
      </c>
      <c r="L4587" s="1"/>
    </row>
    <row r="4588" spans="1:12" ht="18" customHeight="1" x14ac:dyDescent="0.15">
      <c r="A4588" s="11">
        <v>946</v>
      </c>
      <c r="B4588" s="11" t="s">
        <v>28</v>
      </c>
      <c r="C4588" s="11" t="s">
        <v>145</v>
      </c>
      <c r="D4588" s="11">
        <v>1</v>
      </c>
      <c r="E4588" s="11" t="s">
        <v>4</v>
      </c>
      <c r="F4588" s="12">
        <v>47510</v>
      </c>
      <c r="G4588" s="12">
        <v>47510</v>
      </c>
      <c r="H4588" s="11" t="str">
        <f t="shared" si="148"/>
        <v>平成6年9月22日</v>
      </c>
      <c r="I4588" s="22">
        <f t="shared" si="147"/>
        <v>34599</v>
      </c>
      <c r="J4588" s="1" t="str">
        <f>"00738263"</f>
        <v>00738263</v>
      </c>
      <c r="K4588" s="1" t="str">
        <f>"１１７７　　　　　　　　　　　　　　　　"</f>
        <v>１１７７　　　　　　　　　　　　　　　　</v>
      </c>
      <c r="L4588" s="1"/>
    </row>
    <row r="4589" spans="1:12" ht="18" customHeight="1" x14ac:dyDescent="0.15">
      <c r="A4589" s="11">
        <v>947</v>
      </c>
      <c r="B4589" s="11" t="s">
        <v>28</v>
      </c>
      <c r="C4589" s="11" t="s">
        <v>145</v>
      </c>
      <c r="D4589" s="11">
        <v>1</v>
      </c>
      <c r="E4589" s="11" t="s">
        <v>4</v>
      </c>
      <c r="F4589" s="12">
        <v>47510</v>
      </c>
      <c r="G4589" s="12">
        <v>47510</v>
      </c>
      <c r="H4589" s="11" t="str">
        <f t="shared" si="148"/>
        <v>平成6年9月22日</v>
      </c>
      <c r="I4589" s="22">
        <f t="shared" si="147"/>
        <v>34599</v>
      </c>
      <c r="J4589" s="1" t="str">
        <f>"00738265"</f>
        <v>00738265</v>
      </c>
      <c r="K4589" s="1" t="str">
        <f>"１１７８　　　　　　　　　　　　　　　　"</f>
        <v>１１７８　　　　　　　　　　　　　　　　</v>
      </c>
      <c r="L4589" s="1"/>
    </row>
    <row r="4590" spans="1:12" ht="18" customHeight="1" x14ac:dyDescent="0.15">
      <c r="A4590" s="11">
        <v>948</v>
      </c>
      <c r="B4590" s="11" t="s">
        <v>28</v>
      </c>
      <c r="C4590" s="11" t="s">
        <v>145</v>
      </c>
      <c r="D4590" s="11">
        <v>1</v>
      </c>
      <c r="E4590" s="11" t="s">
        <v>4</v>
      </c>
      <c r="F4590" s="12">
        <v>47510</v>
      </c>
      <c r="G4590" s="12">
        <v>47510</v>
      </c>
      <c r="H4590" s="11" t="str">
        <f t="shared" si="148"/>
        <v>平成6年9月22日</v>
      </c>
      <c r="I4590" s="22">
        <f t="shared" si="147"/>
        <v>34599</v>
      </c>
      <c r="J4590" s="1" t="str">
        <f>"00738267"</f>
        <v>00738267</v>
      </c>
      <c r="K4590" s="1" t="str">
        <f>"１１７９　　　　　　　　　　　　　　　　"</f>
        <v>１１７９　　　　　　　　　　　　　　　　</v>
      </c>
      <c r="L4590" s="1"/>
    </row>
    <row r="4591" spans="1:12" ht="18" customHeight="1" x14ac:dyDescent="0.15">
      <c r="A4591" s="11">
        <v>949</v>
      </c>
      <c r="B4591" s="11" t="s">
        <v>28</v>
      </c>
      <c r="C4591" s="11" t="s">
        <v>145</v>
      </c>
      <c r="D4591" s="11">
        <v>1</v>
      </c>
      <c r="E4591" s="11" t="s">
        <v>4</v>
      </c>
      <c r="F4591" s="12">
        <v>47510</v>
      </c>
      <c r="G4591" s="12">
        <v>47510</v>
      </c>
      <c r="H4591" s="11" t="str">
        <f t="shared" si="148"/>
        <v>平成6年9月22日</v>
      </c>
      <c r="I4591" s="22">
        <f t="shared" si="147"/>
        <v>34599</v>
      </c>
      <c r="J4591" s="1" t="str">
        <f>"00738269"</f>
        <v>00738269</v>
      </c>
      <c r="K4591" s="1" t="str">
        <f>"１１８０　　　　　　　　　　　　　　　　"</f>
        <v>１１８０　　　　　　　　　　　　　　　　</v>
      </c>
      <c r="L4591" s="1"/>
    </row>
    <row r="4592" spans="1:12" ht="18" customHeight="1" x14ac:dyDescent="0.15">
      <c r="A4592" s="11">
        <v>950</v>
      </c>
      <c r="B4592" s="11" t="s">
        <v>28</v>
      </c>
      <c r="C4592" s="11" t="s">
        <v>145</v>
      </c>
      <c r="D4592" s="11">
        <v>1</v>
      </c>
      <c r="E4592" s="11" t="s">
        <v>4</v>
      </c>
      <c r="F4592" s="12">
        <v>47510</v>
      </c>
      <c r="G4592" s="12">
        <v>47510</v>
      </c>
      <c r="H4592" s="11" t="str">
        <f t="shared" si="148"/>
        <v>平成6年9月22日</v>
      </c>
      <c r="I4592" s="22">
        <f t="shared" si="147"/>
        <v>34599</v>
      </c>
      <c r="J4592" s="1" t="str">
        <f>"00738270"</f>
        <v>00738270</v>
      </c>
      <c r="K4592" s="1" t="str">
        <f>"１１８１　　　　　　　　　　　　　　　　"</f>
        <v>１１８１　　　　　　　　　　　　　　　　</v>
      </c>
      <c r="L4592" s="1"/>
    </row>
    <row r="4593" spans="1:12" ht="18" customHeight="1" x14ac:dyDescent="0.15">
      <c r="A4593" s="11">
        <v>951</v>
      </c>
      <c r="B4593" s="11" t="s">
        <v>28</v>
      </c>
      <c r="C4593" s="11" t="s">
        <v>145</v>
      </c>
      <c r="D4593" s="11">
        <v>1</v>
      </c>
      <c r="E4593" s="11" t="s">
        <v>4</v>
      </c>
      <c r="F4593" s="12">
        <v>47510</v>
      </c>
      <c r="G4593" s="12">
        <v>47510</v>
      </c>
      <c r="H4593" s="11" t="str">
        <f t="shared" si="148"/>
        <v>平成6年9月22日</v>
      </c>
      <c r="I4593" s="22">
        <f t="shared" si="147"/>
        <v>34599</v>
      </c>
      <c r="J4593" s="1" t="str">
        <f>"00738272"</f>
        <v>00738272</v>
      </c>
      <c r="K4593" s="1" t="str">
        <f>"１１８２　　　　　　　　　　　　　　　　"</f>
        <v>１１８２　　　　　　　　　　　　　　　　</v>
      </c>
      <c r="L4593" s="1"/>
    </row>
    <row r="4594" spans="1:12" ht="18" customHeight="1" x14ac:dyDescent="0.15">
      <c r="A4594" s="11">
        <v>952</v>
      </c>
      <c r="B4594" s="11" t="s">
        <v>28</v>
      </c>
      <c r="C4594" s="11" t="s">
        <v>145</v>
      </c>
      <c r="D4594" s="11">
        <v>1</v>
      </c>
      <c r="E4594" s="11" t="s">
        <v>4</v>
      </c>
      <c r="F4594" s="12">
        <v>47510</v>
      </c>
      <c r="G4594" s="12">
        <v>47510</v>
      </c>
      <c r="H4594" s="11" t="str">
        <f t="shared" si="148"/>
        <v>平成6年9月22日</v>
      </c>
      <c r="I4594" s="22">
        <f t="shared" si="147"/>
        <v>34599</v>
      </c>
      <c r="J4594" s="1" t="str">
        <f>"00738274"</f>
        <v>00738274</v>
      </c>
      <c r="K4594" s="1" t="str">
        <f>"１１８３　　　　　　　　　　　　　　　　"</f>
        <v>１１８３　　　　　　　　　　　　　　　　</v>
      </c>
      <c r="L4594" s="1"/>
    </row>
    <row r="4595" spans="1:12" ht="18" customHeight="1" x14ac:dyDescent="0.15">
      <c r="A4595" s="11">
        <v>953</v>
      </c>
      <c r="B4595" s="11" t="s">
        <v>28</v>
      </c>
      <c r="C4595" s="11" t="s">
        <v>145</v>
      </c>
      <c r="D4595" s="11">
        <v>1</v>
      </c>
      <c r="E4595" s="11" t="s">
        <v>4</v>
      </c>
      <c r="F4595" s="12">
        <v>47510</v>
      </c>
      <c r="G4595" s="12">
        <v>47510</v>
      </c>
      <c r="H4595" s="11" t="str">
        <f t="shared" si="148"/>
        <v>平成6年9月22日</v>
      </c>
      <c r="I4595" s="22">
        <f t="shared" si="147"/>
        <v>34599</v>
      </c>
      <c r="J4595" s="1" t="str">
        <f>"00738278"</f>
        <v>00738278</v>
      </c>
      <c r="K4595" s="1" t="str">
        <f>"１１８５　　　　　　　　　　　　　　　　"</f>
        <v>１１８５　　　　　　　　　　　　　　　　</v>
      </c>
      <c r="L4595" s="1"/>
    </row>
    <row r="4596" spans="1:12" ht="18" customHeight="1" x14ac:dyDescent="0.15">
      <c r="A4596" s="11">
        <v>954</v>
      </c>
      <c r="B4596" s="11" t="s">
        <v>28</v>
      </c>
      <c r="C4596" s="11" t="s">
        <v>145</v>
      </c>
      <c r="D4596" s="11">
        <v>1</v>
      </c>
      <c r="E4596" s="11" t="s">
        <v>4</v>
      </c>
      <c r="F4596" s="12">
        <v>47510</v>
      </c>
      <c r="G4596" s="12">
        <v>47510</v>
      </c>
      <c r="H4596" s="11" t="str">
        <f t="shared" si="148"/>
        <v>平成6年9月22日</v>
      </c>
      <c r="I4596" s="22">
        <f t="shared" si="147"/>
        <v>34599</v>
      </c>
      <c r="J4596" s="1" t="str">
        <f>"00738280"</f>
        <v>00738280</v>
      </c>
      <c r="K4596" s="1" t="str">
        <f>"１１８６　　　　　　　　　　　　　　　　"</f>
        <v>１１８６　　　　　　　　　　　　　　　　</v>
      </c>
      <c r="L4596" s="1"/>
    </row>
    <row r="4597" spans="1:12" ht="18" customHeight="1" x14ac:dyDescent="0.15">
      <c r="A4597" s="11">
        <v>955</v>
      </c>
      <c r="B4597" s="11" t="s">
        <v>28</v>
      </c>
      <c r="C4597" s="11" t="s">
        <v>145</v>
      </c>
      <c r="D4597" s="11">
        <v>1</v>
      </c>
      <c r="E4597" s="11" t="s">
        <v>4</v>
      </c>
      <c r="F4597" s="12">
        <v>47510</v>
      </c>
      <c r="G4597" s="12">
        <v>47510</v>
      </c>
      <c r="H4597" s="11" t="str">
        <f t="shared" si="148"/>
        <v>平成6年9月22日</v>
      </c>
      <c r="I4597" s="22">
        <f t="shared" si="147"/>
        <v>34599</v>
      </c>
      <c r="J4597" s="1" t="str">
        <f>"00738282"</f>
        <v>00738282</v>
      </c>
      <c r="K4597" s="1" t="str">
        <f>"１１８７　　　　　　　　　　　　　　　　"</f>
        <v>１１８７　　　　　　　　　　　　　　　　</v>
      </c>
      <c r="L4597" s="1"/>
    </row>
    <row r="4598" spans="1:12" ht="18" customHeight="1" x14ac:dyDescent="0.15">
      <c r="A4598" s="11">
        <v>956</v>
      </c>
      <c r="B4598" s="11" t="s">
        <v>28</v>
      </c>
      <c r="C4598" s="11" t="s">
        <v>145</v>
      </c>
      <c r="D4598" s="11">
        <v>1</v>
      </c>
      <c r="E4598" s="11" t="s">
        <v>4</v>
      </c>
      <c r="F4598" s="12">
        <v>47510</v>
      </c>
      <c r="G4598" s="12">
        <v>47510</v>
      </c>
      <c r="H4598" s="11" t="str">
        <f t="shared" si="148"/>
        <v>平成6年9月22日</v>
      </c>
      <c r="I4598" s="22">
        <f t="shared" si="147"/>
        <v>34599</v>
      </c>
      <c r="J4598" s="1" t="str">
        <f>"00738284"</f>
        <v>00738284</v>
      </c>
      <c r="K4598" s="1" t="str">
        <f>"１１８８　　　　　　　　　　　　　　　　"</f>
        <v>１１８８　　　　　　　　　　　　　　　　</v>
      </c>
      <c r="L4598" s="1"/>
    </row>
    <row r="4599" spans="1:12" ht="18" customHeight="1" x14ac:dyDescent="0.15">
      <c r="A4599" s="11">
        <v>957</v>
      </c>
      <c r="B4599" s="11" t="s">
        <v>28</v>
      </c>
      <c r="C4599" s="11" t="s">
        <v>145</v>
      </c>
      <c r="D4599" s="11">
        <v>1</v>
      </c>
      <c r="E4599" s="11" t="s">
        <v>4</v>
      </c>
      <c r="F4599" s="12">
        <v>47510</v>
      </c>
      <c r="G4599" s="12">
        <v>47510</v>
      </c>
      <c r="H4599" s="11" t="str">
        <f t="shared" si="148"/>
        <v>平成6年9月22日</v>
      </c>
      <c r="I4599" s="22">
        <f t="shared" si="147"/>
        <v>34599</v>
      </c>
      <c r="J4599" s="1" t="str">
        <f>"00738286"</f>
        <v>00738286</v>
      </c>
      <c r="K4599" s="1" t="str">
        <f>"１１８９　　　　　　　　　　　　　　　　"</f>
        <v>１１８９　　　　　　　　　　　　　　　　</v>
      </c>
      <c r="L4599" s="1"/>
    </row>
    <row r="4600" spans="1:12" ht="18" customHeight="1" x14ac:dyDescent="0.15">
      <c r="A4600" s="11">
        <v>958</v>
      </c>
      <c r="B4600" s="11" t="s">
        <v>28</v>
      </c>
      <c r="C4600" s="11" t="s">
        <v>145</v>
      </c>
      <c r="D4600" s="11">
        <v>1</v>
      </c>
      <c r="E4600" s="11" t="s">
        <v>4</v>
      </c>
      <c r="F4600" s="12">
        <v>47510</v>
      </c>
      <c r="G4600" s="12">
        <v>47510</v>
      </c>
      <c r="H4600" s="11" t="str">
        <f t="shared" si="148"/>
        <v>平成6年9月22日</v>
      </c>
      <c r="I4600" s="22">
        <f t="shared" si="147"/>
        <v>34599</v>
      </c>
      <c r="J4600" s="1" t="str">
        <f>"00738288"</f>
        <v>00738288</v>
      </c>
      <c r="K4600" s="1" t="str">
        <f>"１１９０　　　　　　　　　　　　　　　　"</f>
        <v>１１９０　　　　　　　　　　　　　　　　</v>
      </c>
      <c r="L4600" s="1"/>
    </row>
    <row r="4601" spans="1:12" ht="18" customHeight="1" x14ac:dyDescent="0.15">
      <c r="A4601" s="11">
        <v>959</v>
      </c>
      <c r="B4601" s="11" t="s">
        <v>28</v>
      </c>
      <c r="C4601" s="11" t="s">
        <v>145</v>
      </c>
      <c r="D4601" s="11">
        <v>1</v>
      </c>
      <c r="E4601" s="11" t="s">
        <v>4</v>
      </c>
      <c r="F4601" s="12">
        <v>47510</v>
      </c>
      <c r="G4601" s="12">
        <v>47510</v>
      </c>
      <c r="H4601" s="11" t="str">
        <f t="shared" si="148"/>
        <v>平成6年9月22日</v>
      </c>
      <c r="I4601" s="22">
        <f t="shared" si="147"/>
        <v>34599</v>
      </c>
      <c r="J4601" s="1" t="str">
        <f>"00738290"</f>
        <v>00738290</v>
      </c>
      <c r="K4601" s="1" t="str">
        <f>"１１９１　　　　　　　　　　　　　　　　"</f>
        <v>１１９１　　　　　　　　　　　　　　　　</v>
      </c>
      <c r="L4601" s="1"/>
    </row>
    <row r="4602" spans="1:12" ht="18" customHeight="1" x14ac:dyDescent="0.15">
      <c r="A4602" s="11">
        <v>960</v>
      </c>
      <c r="B4602" s="11" t="s">
        <v>28</v>
      </c>
      <c r="C4602" s="11" t="s">
        <v>145</v>
      </c>
      <c r="D4602" s="11">
        <v>1</v>
      </c>
      <c r="E4602" s="11" t="s">
        <v>4</v>
      </c>
      <c r="F4602" s="12">
        <v>47510</v>
      </c>
      <c r="G4602" s="12">
        <v>47510</v>
      </c>
      <c r="H4602" s="11" t="str">
        <f t="shared" si="148"/>
        <v>平成6年9月22日</v>
      </c>
      <c r="I4602" s="22">
        <f t="shared" si="147"/>
        <v>34599</v>
      </c>
      <c r="J4602" s="1" t="str">
        <f>"00738292"</f>
        <v>00738292</v>
      </c>
      <c r="K4602" s="1" t="str">
        <f>"１１９２　　　　　　　　　　　　　　　　"</f>
        <v>１１９２　　　　　　　　　　　　　　　　</v>
      </c>
      <c r="L4602" s="1"/>
    </row>
    <row r="4603" spans="1:12" ht="18" customHeight="1" x14ac:dyDescent="0.15">
      <c r="A4603" s="11">
        <v>961</v>
      </c>
      <c r="B4603" s="11" t="s">
        <v>28</v>
      </c>
      <c r="C4603" s="11" t="s">
        <v>145</v>
      </c>
      <c r="D4603" s="11">
        <v>1</v>
      </c>
      <c r="E4603" s="11" t="s">
        <v>4</v>
      </c>
      <c r="F4603" s="12">
        <v>47510</v>
      </c>
      <c r="G4603" s="12">
        <v>47510</v>
      </c>
      <c r="H4603" s="11" t="str">
        <f t="shared" si="148"/>
        <v>平成6年9月22日</v>
      </c>
      <c r="I4603" s="22">
        <f t="shared" si="147"/>
        <v>34599</v>
      </c>
      <c r="J4603" s="1" t="str">
        <f>"00738294"</f>
        <v>00738294</v>
      </c>
      <c r="K4603" s="1" t="str">
        <f>"１１９３　　　　　　　　　　　　　　　　"</f>
        <v>１１９３　　　　　　　　　　　　　　　　</v>
      </c>
      <c r="L4603" s="1"/>
    </row>
    <row r="4604" spans="1:12" ht="18" customHeight="1" x14ac:dyDescent="0.15">
      <c r="A4604" s="11">
        <v>962</v>
      </c>
      <c r="B4604" s="11" t="s">
        <v>28</v>
      </c>
      <c r="C4604" s="11" t="s">
        <v>145</v>
      </c>
      <c r="D4604" s="11">
        <v>1</v>
      </c>
      <c r="E4604" s="11" t="s">
        <v>4</v>
      </c>
      <c r="F4604" s="12">
        <v>47510</v>
      </c>
      <c r="G4604" s="12">
        <v>47510</v>
      </c>
      <c r="H4604" s="11" t="str">
        <f t="shared" si="148"/>
        <v>平成6年9月22日</v>
      </c>
      <c r="I4604" s="22">
        <f t="shared" si="147"/>
        <v>34599</v>
      </c>
      <c r="J4604" s="1" t="str">
        <f>"00738296"</f>
        <v>00738296</v>
      </c>
      <c r="K4604" s="1" t="str">
        <f>"１１９４　　　　　　　　　　　　　　　　"</f>
        <v>１１９４　　　　　　　　　　　　　　　　</v>
      </c>
      <c r="L4604" s="1"/>
    </row>
    <row r="4605" spans="1:12" ht="18" customHeight="1" x14ac:dyDescent="0.15">
      <c r="A4605" s="11">
        <v>963</v>
      </c>
      <c r="B4605" s="11" t="s">
        <v>28</v>
      </c>
      <c r="C4605" s="11" t="s">
        <v>145</v>
      </c>
      <c r="D4605" s="11">
        <v>1</v>
      </c>
      <c r="E4605" s="11" t="s">
        <v>4</v>
      </c>
      <c r="F4605" s="12">
        <v>47510</v>
      </c>
      <c r="G4605" s="12">
        <v>47510</v>
      </c>
      <c r="H4605" s="11" t="str">
        <f t="shared" si="148"/>
        <v>平成6年9月22日</v>
      </c>
      <c r="I4605" s="22">
        <f t="shared" si="147"/>
        <v>34599</v>
      </c>
      <c r="J4605" s="1" t="str">
        <f>"00738298"</f>
        <v>00738298</v>
      </c>
      <c r="K4605" s="1" t="str">
        <f>"１１９５　　　　　　　　　　　　　　　　"</f>
        <v>１１９５　　　　　　　　　　　　　　　　</v>
      </c>
      <c r="L4605" s="1"/>
    </row>
    <row r="4606" spans="1:12" ht="18" customHeight="1" x14ac:dyDescent="0.15">
      <c r="A4606" s="11">
        <v>964</v>
      </c>
      <c r="B4606" s="11" t="s">
        <v>28</v>
      </c>
      <c r="C4606" s="11" t="s">
        <v>145</v>
      </c>
      <c r="D4606" s="11">
        <v>1</v>
      </c>
      <c r="E4606" s="11" t="s">
        <v>4</v>
      </c>
      <c r="F4606" s="12">
        <v>47510</v>
      </c>
      <c r="G4606" s="12">
        <v>47510</v>
      </c>
      <c r="H4606" s="11" t="str">
        <f t="shared" si="148"/>
        <v>平成6年9月22日</v>
      </c>
      <c r="I4606" s="22">
        <f t="shared" si="147"/>
        <v>34599</v>
      </c>
      <c r="J4606" s="1" t="str">
        <f>"00738300"</f>
        <v>00738300</v>
      </c>
      <c r="K4606" s="1" t="str">
        <f>"１１９６　　　　　　　　　　　　　　　　"</f>
        <v>１１９６　　　　　　　　　　　　　　　　</v>
      </c>
      <c r="L4606" s="1"/>
    </row>
    <row r="4607" spans="1:12" ht="18" customHeight="1" x14ac:dyDescent="0.15">
      <c r="A4607" s="11">
        <v>965</v>
      </c>
      <c r="B4607" s="11" t="s">
        <v>28</v>
      </c>
      <c r="C4607" s="11" t="s">
        <v>145</v>
      </c>
      <c r="D4607" s="11">
        <v>1</v>
      </c>
      <c r="E4607" s="11" t="s">
        <v>4</v>
      </c>
      <c r="F4607" s="12">
        <v>47510</v>
      </c>
      <c r="G4607" s="12">
        <v>47510</v>
      </c>
      <c r="H4607" s="11" t="str">
        <f t="shared" si="148"/>
        <v>平成6年9月22日</v>
      </c>
      <c r="I4607" s="22">
        <f t="shared" si="147"/>
        <v>34599</v>
      </c>
      <c r="J4607" s="1" t="str">
        <f>"00738302"</f>
        <v>00738302</v>
      </c>
      <c r="K4607" s="1" t="str">
        <f>"１１９７　　　　　　　　　　　　　　　　"</f>
        <v>１１９７　　　　　　　　　　　　　　　　</v>
      </c>
      <c r="L4607" s="1"/>
    </row>
    <row r="4608" spans="1:12" ht="18" customHeight="1" x14ac:dyDescent="0.15">
      <c r="A4608" s="11">
        <v>966</v>
      </c>
      <c r="B4608" s="11" t="s">
        <v>28</v>
      </c>
      <c r="C4608" s="11" t="s">
        <v>145</v>
      </c>
      <c r="D4608" s="11">
        <v>1</v>
      </c>
      <c r="E4608" s="11" t="s">
        <v>4</v>
      </c>
      <c r="F4608" s="12">
        <v>47510</v>
      </c>
      <c r="G4608" s="12">
        <v>47510</v>
      </c>
      <c r="H4608" s="11" t="str">
        <f t="shared" si="148"/>
        <v>平成6年9月22日</v>
      </c>
      <c r="I4608" s="22">
        <f t="shared" si="147"/>
        <v>34599</v>
      </c>
      <c r="J4608" s="1" t="str">
        <f>"00738304"</f>
        <v>00738304</v>
      </c>
      <c r="K4608" s="1" t="str">
        <f>"１１９８　　　　　　　　　　　　　　　　"</f>
        <v>１１９８　　　　　　　　　　　　　　　　</v>
      </c>
      <c r="L4608" s="1"/>
    </row>
    <row r="4609" spans="1:12" ht="18" customHeight="1" x14ac:dyDescent="0.15">
      <c r="A4609" s="11">
        <v>967</v>
      </c>
      <c r="B4609" s="11" t="s">
        <v>28</v>
      </c>
      <c r="C4609" s="11" t="s">
        <v>145</v>
      </c>
      <c r="D4609" s="11">
        <v>1</v>
      </c>
      <c r="E4609" s="11" t="s">
        <v>4</v>
      </c>
      <c r="F4609" s="12">
        <v>47510</v>
      </c>
      <c r="G4609" s="12">
        <v>47510</v>
      </c>
      <c r="H4609" s="11" t="str">
        <f t="shared" si="148"/>
        <v>平成6年9月22日</v>
      </c>
      <c r="I4609" s="22">
        <f t="shared" si="147"/>
        <v>34599</v>
      </c>
      <c r="J4609" s="1" t="str">
        <f>"00738306"</f>
        <v>00738306</v>
      </c>
      <c r="K4609" s="1" t="str">
        <f>"１１９９　　　　　　　　　　　　　　　　"</f>
        <v>１１９９　　　　　　　　　　　　　　　　</v>
      </c>
      <c r="L4609" s="1"/>
    </row>
    <row r="4610" spans="1:12" ht="18" customHeight="1" x14ac:dyDescent="0.15">
      <c r="A4610" s="11">
        <v>968</v>
      </c>
      <c r="B4610" s="11" t="s">
        <v>28</v>
      </c>
      <c r="C4610" s="11" t="s">
        <v>145</v>
      </c>
      <c r="D4610" s="11">
        <v>1</v>
      </c>
      <c r="E4610" s="11" t="s">
        <v>4</v>
      </c>
      <c r="F4610" s="12">
        <v>47510</v>
      </c>
      <c r="G4610" s="12">
        <v>47510</v>
      </c>
      <c r="H4610" s="11" t="str">
        <f t="shared" si="148"/>
        <v>平成6年9月22日</v>
      </c>
      <c r="I4610" s="22">
        <f t="shared" si="147"/>
        <v>34599</v>
      </c>
      <c r="J4610" s="1" t="str">
        <f>"00738308"</f>
        <v>00738308</v>
      </c>
      <c r="K4610" s="1" t="str">
        <f>"１２００　　　　　　　　　　　　　　　　"</f>
        <v>１２００　　　　　　　　　　　　　　　　</v>
      </c>
      <c r="L4610" s="1"/>
    </row>
    <row r="4611" spans="1:12" ht="18" customHeight="1" x14ac:dyDescent="0.15">
      <c r="A4611" s="11">
        <v>969</v>
      </c>
      <c r="B4611" s="11" t="s">
        <v>28</v>
      </c>
      <c r="C4611" s="11" t="s">
        <v>145</v>
      </c>
      <c r="D4611" s="11">
        <v>1</v>
      </c>
      <c r="E4611" s="11" t="s">
        <v>4</v>
      </c>
      <c r="F4611" s="12">
        <v>47510</v>
      </c>
      <c r="G4611" s="12">
        <v>47510</v>
      </c>
      <c r="H4611" s="11" t="str">
        <f t="shared" si="148"/>
        <v>平成6年9月22日</v>
      </c>
      <c r="I4611" s="22">
        <f t="shared" si="147"/>
        <v>34599</v>
      </c>
      <c r="J4611" s="1" t="str">
        <f>"00738310"</f>
        <v>00738310</v>
      </c>
      <c r="K4611" s="1" t="str">
        <f>"１２０１　　　　　　　　　　　　　　　　"</f>
        <v>１２０１　　　　　　　　　　　　　　　　</v>
      </c>
      <c r="L4611" s="1"/>
    </row>
    <row r="4612" spans="1:12" ht="18" customHeight="1" x14ac:dyDescent="0.15">
      <c r="A4612" s="11">
        <v>970</v>
      </c>
      <c r="B4612" s="11" t="s">
        <v>28</v>
      </c>
      <c r="C4612" s="11" t="s">
        <v>145</v>
      </c>
      <c r="D4612" s="11">
        <v>1</v>
      </c>
      <c r="E4612" s="11" t="s">
        <v>4</v>
      </c>
      <c r="F4612" s="12">
        <v>47510</v>
      </c>
      <c r="G4612" s="12">
        <v>47510</v>
      </c>
      <c r="H4612" s="11" t="str">
        <f t="shared" si="148"/>
        <v>平成6年9月22日</v>
      </c>
      <c r="I4612" s="22">
        <f t="shared" si="147"/>
        <v>34599</v>
      </c>
      <c r="J4612" s="1" t="str">
        <f>"00738312"</f>
        <v>00738312</v>
      </c>
      <c r="K4612" s="1" t="str">
        <f>"１２０２　　　　　　　　　　　　　　　　"</f>
        <v>１２０２　　　　　　　　　　　　　　　　</v>
      </c>
      <c r="L4612" s="1"/>
    </row>
    <row r="4613" spans="1:12" ht="18" customHeight="1" x14ac:dyDescent="0.15">
      <c r="A4613" s="11">
        <v>971</v>
      </c>
      <c r="B4613" s="11" t="s">
        <v>28</v>
      </c>
      <c r="C4613" s="11" t="s">
        <v>145</v>
      </c>
      <c r="D4613" s="11">
        <v>1</v>
      </c>
      <c r="E4613" s="11" t="s">
        <v>4</v>
      </c>
      <c r="F4613" s="12">
        <v>47510</v>
      </c>
      <c r="G4613" s="12">
        <v>47510</v>
      </c>
      <c r="H4613" s="11" t="str">
        <f t="shared" si="148"/>
        <v>平成6年9月22日</v>
      </c>
      <c r="I4613" s="22">
        <f t="shared" si="147"/>
        <v>34599</v>
      </c>
      <c r="J4613" s="1" t="str">
        <f>"00738314"</f>
        <v>00738314</v>
      </c>
      <c r="K4613" s="1" t="str">
        <f>"１２０３　　　　　　　　　　　　　　　　"</f>
        <v>１２０３　　　　　　　　　　　　　　　　</v>
      </c>
      <c r="L4613" s="1"/>
    </row>
    <row r="4614" spans="1:12" ht="18" customHeight="1" x14ac:dyDescent="0.15">
      <c r="A4614" s="11">
        <v>972</v>
      </c>
      <c r="B4614" s="11" t="s">
        <v>28</v>
      </c>
      <c r="C4614" s="11" t="s">
        <v>145</v>
      </c>
      <c r="D4614" s="11">
        <v>1</v>
      </c>
      <c r="E4614" s="11" t="s">
        <v>4</v>
      </c>
      <c r="F4614" s="12">
        <v>47510</v>
      </c>
      <c r="G4614" s="12">
        <v>47510</v>
      </c>
      <c r="H4614" s="11" t="str">
        <f t="shared" si="148"/>
        <v>平成6年9月22日</v>
      </c>
      <c r="I4614" s="22">
        <f t="shared" si="147"/>
        <v>34599</v>
      </c>
      <c r="J4614" s="1" t="str">
        <f>"00738316"</f>
        <v>00738316</v>
      </c>
      <c r="K4614" s="1" t="str">
        <f>"１２０４　　　　　　　　　　　　　　　　"</f>
        <v>１２０４　　　　　　　　　　　　　　　　</v>
      </c>
      <c r="L4614" s="1"/>
    </row>
    <row r="4615" spans="1:12" ht="18" customHeight="1" x14ac:dyDescent="0.15">
      <c r="A4615" s="11">
        <v>973</v>
      </c>
      <c r="B4615" s="11" t="s">
        <v>28</v>
      </c>
      <c r="C4615" s="11" t="s">
        <v>145</v>
      </c>
      <c r="D4615" s="11">
        <v>1</v>
      </c>
      <c r="E4615" s="11" t="s">
        <v>4</v>
      </c>
      <c r="F4615" s="12">
        <v>47510</v>
      </c>
      <c r="G4615" s="12">
        <v>47510</v>
      </c>
      <c r="H4615" s="11" t="str">
        <f t="shared" si="148"/>
        <v>平成6年9月22日</v>
      </c>
      <c r="I4615" s="22">
        <f t="shared" si="147"/>
        <v>34599</v>
      </c>
      <c r="J4615" s="1" t="str">
        <f>"00738319"</f>
        <v>00738319</v>
      </c>
      <c r="K4615" s="1" t="str">
        <f>"１２０５　　　　　　　　　　　　　　　　"</f>
        <v>１２０５　　　　　　　　　　　　　　　　</v>
      </c>
      <c r="L4615" s="1"/>
    </row>
    <row r="4616" spans="1:12" ht="18" customHeight="1" x14ac:dyDescent="0.15">
      <c r="A4616" s="11">
        <v>974</v>
      </c>
      <c r="B4616" s="11" t="s">
        <v>28</v>
      </c>
      <c r="C4616" s="11" t="s">
        <v>145</v>
      </c>
      <c r="D4616" s="11">
        <v>1</v>
      </c>
      <c r="E4616" s="11" t="s">
        <v>4</v>
      </c>
      <c r="F4616" s="12">
        <v>47510</v>
      </c>
      <c r="G4616" s="12">
        <v>47510</v>
      </c>
      <c r="H4616" s="11" t="str">
        <f t="shared" si="148"/>
        <v>平成6年9月22日</v>
      </c>
      <c r="I4616" s="22">
        <f t="shared" si="147"/>
        <v>34599</v>
      </c>
      <c r="J4616" s="1" t="str">
        <f>"00738321"</f>
        <v>00738321</v>
      </c>
      <c r="K4616" s="1" t="str">
        <f>"１２０６　　　　　　　　　　　　　　　　"</f>
        <v>１２０６　　　　　　　　　　　　　　　　</v>
      </c>
      <c r="L4616" s="1"/>
    </row>
    <row r="4617" spans="1:12" ht="18" customHeight="1" x14ac:dyDescent="0.15">
      <c r="A4617" s="11">
        <v>975</v>
      </c>
      <c r="B4617" s="11" t="s">
        <v>28</v>
      </c>
      <c r="C4617" s="11" t="s">
        <v>145</v>
      </c>
      <c r="D4617" s="11">
        <v>1</v>
      </c>
      <c r="E4617" s="11" t="s">
        <v>4</v>
      </c>
      <c r="F4617" s="12">
        <v>47510</v>
      </c>
      <c r="G4617" s="12">
        <v>47510</v>
      </c>
      <c r="H4617" s="11" t="str">
        <f t="shared" si="148"/>
        <v>平成6年9月22日</v>
      </c>
      <c r="I4617" s="22">
        <f t="shared" si="147"/>
        <v>34599</v>
      </c>
      <c r="J4617" s="1" t="str">
        <f>"00738323"</f>
        <v>00738323</v>
      </c>
      <c r="K4617" s="1" t="str">
        <f>"１２０７　　　　　　　　　　　　　　　　"</f>
        <v>１２０７　　　　　　　　　　　　　　　　</v>
      </c>
      <c r="L4617" s="1"/>
    </row>
    <row r="4618" spans="1:12" ht="18" customHeight="1" x14ac:dyDescent="0.15">
      <c r="A4618" s="11">
        <v>976</v>
      </c>
      <c r="B4618" s="11" t="s">
        <v>28</v>
      </c>
      <c r="C4618" s="11" t="s">
        <v>145</v>
      </c>
      <c r="D4618" s="11">
        <v>1</v>
      </c>
      <c r="E4618" s="11" t="s">
        <v>4</v>
      </c>
      <c r="F4618" s="12">
        <v>47510</v>
      </c>
      <c r="G4618" s="12">
        <v>47510</v>
      </c>
      <c r="H4618" s="11" t="str">
        <f t="shared" si="148"/>
        <v>平成6年9月22日</v>
      </c>
      <c r="I4618" s="22">
        <f t="shared" si="147"/>
        <v>34599</v>
      </c>
      <c r="J4618" s="1" t="str">
        <f>"00738325"</f>
        <v>00738325</v>
      </c>
      <c r="K4618" s="1" t="str">
        <f>"１２０８　　　　　　　　　　　　　　　　"</f>
        <v>１２０８　　　　　　　　　　　　　　　　</v>
      </c>
      <c r="L4618" s="1"/>
    </row>
    <row r="4619" spans="1:12" ht="18" customHeight="1" x14ac:dyDescent="0.15">
      <c r="A4619" s="11">
        <v>977</v>
      </c>
      <c r="B4619" s="11" t="s">
        <v>28</v>
      </c>
      <c r="C4619" s="11" t="s">
        <v>145</v>
      </c>
      <c r="D4619" s="11">
        <v>1</v>
      </c>
      <c r="E4619" s="11" t="s">
        <v>4</v>
      </c>
      <c r="F4619" s="12">
        <v>47510</v>
      </c>
      <c r="G4619" s="12">
        <v>47510</v>
      </c>
      <c r="H4619" s="11" t="str">
        <f t="shared" si="148"/>
        <v>平成6年9月22日</v>
      </c>
      <c r="I4619" s="22">
        <f t="shared" si="147"/>
        <v>34599</v>
      </c>
      <c r="J4619" s="1" t="str">
        <f>"00738327"</f>
        <v>00738327</v>
      </c>
      <c r="K4619" s="1" t="str">
        <f>"１２０９　　　　　　　　　　　　　　　　"</f>
        <v>１２０９　　　　　　　　　　　　　　　　</v>
      </c>
      <c r="L4619" s="1"/>
    </row>
    <row r="4620" spans="1:12" ht="18" customHeight="1" x14ac:dyDescent="0.15">
      <c r="A4620" s="11">
        <v>978</v>
      </c>
      <c r="B4620" s="11" t="s">
        <v>28</v>
      </c>
      <c r="C4620" s="11" t="s">
        <v>145</v>
      </c>
      <c r="D4620" s="11">
        <v>1</v>
      </c>
      <c r="E4620" s="11" t="s">
        <v>4</v>
      </c>
      <c r="F4620" s="12">
        <v>47510</v>
      </c>
      <c r="G4620" s="12">
        <v>47510</v>
      </c>
      <c r="H4620" s="11" t="str">
        <f t="shared" si="148"/>
        <v>平成6年9月22日</v>
      </c>
      <c r="I4620" s="22">
        <f t="shared" si="147"/>
        <v>34599</v>
      </c>
      <c r="J4620" s="1" t="str">
        <f>"00738329"</f>
        <v>00738329</v>
      </c>
      <c r="K4620" s="1" t="str">
        <f>"１２１０　　　　　　　　　　　　　　　　"</f>
        <v>１２１０　　　　　　　　　　　　　　　　</v>
      </c>
      <c r="L4620" s="1"/>
    </row>
    <row r="4621" spans="1:12" ht="18" customHeight="1" x14ac:dyDescent="0.15">
      <c r="A4621" s="11">
        <v>979</v>
      </c>
      <c r="B4621" s="11" t="s">
        <v>28</v>
      </c>
      <c r="C4621" s="11" t="s">
        <v>145</v>
      </c>
      <c r="D4621" s="11">
        <v>1</v>
      </c>
      <c r="E4621" s="11" t="s">
        <v>4</v>
      </c>
      <c r="F4621" s="12">
        <v>47510</v>
      </c>
      <c r="G4621" s="12">
        <v>47510</v>
      </c>
      <c r="H4621" s="11" t="str">
        <f t="shared" si="148"/>
        <v>平成6年9月22日</v>
      </c>
      <c r="I4621" s="22">
        <f t="shared" si="147"/>
        <v>34599</v>
      </c>
      <c r="J4621" s="1" t="str">
        <f>"00738331"</f>
        <v>00738331</v>
      </c>
      <c r="K4621" s="1" t="str">
        <f>"１２１１　　　　　　　　　　　　　　　　"</f>
        <v>１２１１　　　　　　　　　　　　　　　　</v>
      </c>
      <c r="L4621" s="1"/>
    </row>
    <row r="4622" spans="1:12" ht="18" customHeight="1" x14ac:dyDescent="0.15">
      <c r="A4622" s="11">
        <v>980</v>
      </c>
      <c r="B4622" s="11" t="s">
        <v>28</v>
      </c>
      <c r="C4622" s="11" t="s">
        <v>145</v>
      </c>
      <c r="D4622" s="11">
        <v>1</v>
      </c>
      <c r="E4622" s="11" t="s">
        <v>4</v>
      </c>
      <c r="F4622" s="12">
        <v>47510</v>
      </c>
      <c r="G4622" s="12">
        <v>47510</v>
      </c>
      <c r="H4622" s="11" t="str">
        <f t="shared" si="148"/>
        <v>平成6年9月22日</v>
      </c>
      <c r="I4622" s="22">
        <f t="shared" si="147"/>
        <v>34599</v>
      </c>
      <c r="J4622" s="1" t="str">
        <f>"00738333"</f>
        <v>00738333</v>
      </c>
      <c r="K4622" s="1" t="str">
        <f>"１２１２　　　　　　　　　　　　　　　　"</f>
        <v>１２１２　　　　　　　　　　　　　　　　</v>
      </c>
      <c r="L4622" s="1"/>
    </row>
    <row r="4623" spans="1:12" ht="18" customHeight="1" x14ac:dyDescent="0.15">
      <c r="A4623" s="11">
        <v>981</v>
      </c>
      <c r="B4623" s="11" t="s">
        <v>28</v>
      </c>
      <c r="C4623" s="11" t="s">
        <v>145</v>
      </c>
      <c r="D4623" s="11">
        <v>1</v>
      </c>
      <c r="E4623" s="11" t="s">
        <v>4</v>
      </c>
      <c r="F4623" s="12">
        <v>47510</v>
      </c>
      <c r="G4623" s="12">
        <v>47510</v>
      </c>
      <c r="H4623" s="11" t="str">
        <f t="shared" si="148"/>
        <v>平成6年9月22日</v>
      </c>
      <c r="I4623" s="22">
        <f t="shared" si="147"/>
        <v>34599</v>
      </c>
      <c r="J4623" s="1" t="str">
        <f>"00738335"</f>
        <v>00738335</v>
      </c>
      <c r="K4623" s="1" t="str">
        <f>"１２１３　　　　　　　　　　　　　　　　"</f>
        <v>１２１３　　　　　　　　　　　　　　　　</v>
      </c>
      <c r="L4623" s="1"/>
    </row>
    <row r="4624" spans="1:12" ht="18" customHeight="1" x14ac:dyDescent="0.15">
      <c r="A4624" s="11">
        <v>982</v>
      </c>
      <c r="B4624" s="11" t="s">
        <v>28</v>
      </c>
      <c r="C4624" s="11" t="s">
        <v>145</v>
      </c>
      <c r="D4624" s="11">
        <v>1</v>
      </c>
      <c r="E4624" s="11" t="s">
        <v>4</v>
      </c>
      <c r="F4624" s="12">
        <v>47510</v>
      </c>
      <c r="G4624" s="12">
        <v>47510</v>
      </c>
      <c r="H4624" s="11" t="str">
        <f t="shared" si="148"/>
        <v>平成6年9月22日</v>
      </c>
      <c r="I4624" s="22">
        <f t="shared" si="147"/>
        <v>34599</v>
      </c>
      <c r="J4624" s="1" t="str">
        <f>"00738337"</f>
        <v>00738337</v>
      </c>
      <c r="K4624" s="1" t="str">
        <f>"１２１４　　　　　　　　　　　　　　　　"</f>
        <v>１２１４　　　　　　　　　　　　　　　　</v>
      </c>
      <c r="L4624" s="1"/>
    </row>
    <row r="4625" spans="1:12" ht="18" customHeight="1" x14ac:dyDescent="0.15">
      <c r="A4625" s="11">
        <v>983</v>
      </c>
      <c r="B4625" s="11" t="s">
        <v>28</v>
      </c>
      <c r="C4625" s="11" t="s">
        <v>145</v>
      </c>
      <c r="D4625" s="11">
        <v>1</v>
      </c>
      <c r="E4625" s="11" t="s">
        <v>4</v>
      </c>
      <c r="F4625" s="12">
        <v>47510</v>
      </c>
      <c r="G4625" s="12">
        <v>47510</v>
      </c>
      <c r="H4625" s="11" t="str">
        <f t="shared" si="148"/>
        <v>平成6年9月22日</v>
      </c>
      <c r="I4625" s="22">
        <f t="shared" si="147"/>
        <v>34599</v>
      </c>
      <c r="J4625" s="1" t="str">
        <f>"00738339"</f>
        <v>00738339</v>
      </c>
      <c r="K4625" s="1" t="str">
        <f>"１２１５　　　　　　　　　　　　　　　　"</f>
        <v>１２１５　　　　　　　　　　　　　　　　</v>
      </c>
      <c r="L4625" s="1"/>
    </row>
    <row r="4626" spans="1:12" ht="18" customHeight="1" x14ac:dyDescent="0.15">
      <c r="A4626" s="11">
        <v>984</v>
      </c>
      <c r="B4626" s="11" t="s">
        <v>28</v>
      </c>
      <c r="C4626" s="11" t="s">
        <v>145</v>
      </c>
      <c r="D4626" s="11">
        <v>1</v>
      </c>
      <c r="E4626" s="11" t="s">
        <v>4</v>
      </c>
      <c r="F4626" s="12">
        <v>47510</v>
      </c>
      <c r="G4626" s="12">
        <v>47510</v>
      </c>
      <c r="H4626" s="11" t="str">
        <f t="shared" si="148"/>
        <v>平成6年9月22日</v>
      </c>
      <c r="I4626" s="22">
        <f t="shared" ref="I4626:I4689" si="149">DATEVALUE(H4626)</f>
        <v>34599</v>
      </c>
      <c r="J4626" s="1" t="str">
        <f>"00738341"</f>
        <v>00738341</v>
      </c>
      <c r="K4626" s="1" t="str">
        <f>"１２１６　　　　　　　　　　　　　　　　"</f>
        <v>１２１６　　　　　　　　　　　　　　　　</v>
      </c>
      <c r="L4626" s="1"/>
    </row>
    <row r="4627" spans="1:12" ht="18" customHeight="1" x14ac:dyDescent="0.15">
      <c r="A4627" s="11">
        <v>985</v>
      </c>
      <c r="B4627" s="11" t="s">
        <v>28</v>
      </c>
      <c r="C4627" s="11" t="s">
        <v>145</v>
      </c>
      <c r="D4627" s="11">
        <v>1</v>
      </c>
      <c r="E4627" s="11" t="s">
        <v>4</v>
      </c>
      <c r="F4627" s="12">
        <v>47510</v>
      </c>
      <c r="G4627" s="12">
        <v>47510</v>
      </c>
      <c r="H4627" s="11" t="str">
        <f t="shared" si="148"/>
        <v>平成6年9月22日</v>
      </c>
      <c r="I4627" s="22">
        <f t="shared" si="149"/>
        <v>34599</v>
      </c>
      <c r="J4627" s="1" t="str">
        <f>"00738343"</f>
        <v>00738343</v>
      </c>
      <c r="K4627" s="1" t="str">
        <f>"１２１７　　　　　　　　　　　　　　　　"</f>
        <v>１２１７　　　　　　　　　　　　　　　　</v>
      </c>
      <c r="L4627" s="1"/>
    </row>
    <row r="4628" spans="1:12" ht="18" customHeight="1" x14ac:dyDescent="0.15">
      <c r="A4628" s="11">
        <v>986</v>
      </c>
      <c r="B4628" s="11" t="s">
        <v>28</v>
      </c>
      <c r="C4628" s="11" t="s">
        <v>145</v>
      </c>
      <c r="D4628" s="11">
        <v>1</v>
      </c>
      <c r="E4628" s="11" t="s">
        <v>4</v>
      </c>
      <c r="F4628" s="12">
        <v>47510</v>
      </c>
      <c r="G4628" s="12">
        <v>47510</v>
      </c>
      <c r="H4628" s="11" t="str">
        <f t="shared" si="148"/>
        <v>平成6年9月22日</v>
      </c>
      <c r="I4628" s="22">
        <f t="shared" si="149"/>
        <v>34599</v>
      </c>
      <c r="J4628" s="1" t="str">
        <f>"00738345"</f>
        <v>00738345</v>
      </c>
      <c r="K4628" s="1" t="str">
        <f>"１２１８　　　　　　　　　　　　　　　　"</f>
        <v>１２１８　　　　　　　　　　　　　　　　</v>
      </c>
      <c r="L4628" s="1"/>
    </row>
    <row r="4629" spans="1:12" ht="18" customHeight="1" x14ac:dyDescent="0.15">
      <c r="A4629" s="11">
        <v>987</v>
      </c>
      <c r="B4629" s="11" t="s">
        <v>28</v>
      </c>
      <c r="C4629" s="11" t="s">
        <v>145</v>
      </c>
      <c r="D4629" s="11">
        <v>1</v>
      </c>
      <c r="E4629" s="11" t="s">
        <v>4</v>
      </c>
      <c r="F4629" s="12">
        <v>47510</v>
      </c>
      <c r="G4629" s="12">
        <v>47510</v>
      </c>
      <c r="H4629" s="11" t="str">
        <f t="shared" si="148"/>
        <v>平成6年9月22日</v>
      </c>
      <c r="I4629" s="22">
        <f t="shared" si="149"/>
        <v>34599</v>
      </c>
      <c r="J4629" s="1" t="str">
        <f>"00738347"</f>
        <v>00738347</v>
      </c>
      <c r="K4629" s="1" t="str">
        <f>"１２１９　　　　　　　　　　　　　　　　"</f>
        <v>１２１９　　　　　　　　　　　　　　　　</v>
      </c>
      <c r="L4629" s="1"/>
    </row>
    <row r="4630" spans="1:12" ht="18" customHeight="1" x14ac:dyDescent="0.15">
      <c r="A4630" s="11">
        <v>988</v>
      </c>
      <c r="B4630" s="11" t="s">
        <v>28</v>
      </c>
      <c r="C4630" s="11" t="s">
        <v>145</v>
      </c>
      <c r="D4630" s="11">
        <v>1</v>
      </c>
      <c r="E4630" s="11" t="s">
        <v>4</v>
      </c>
      <c r="F4630" s="12">
        <v>47510</v>
      </c>
      <c r="G4630" s="12">
        <v>47510</v>
      </c>
      <c r="H4630" s="11" t="str">
        <f t="shared" si="148"/>
        <v>平成6年9月22日</v>
      </c>
      <c r="I4630" s="22">
        <f t="shared" si="149"/>
        <v>34599</v>
      </c>
      <c r="J4630" s="1" t="str">
        <f>"00738349"</f>
        <v>00738349</v>
      </c>
      <c r="K4630" s="1" t="str">
        <f>"１２２０　　　　　　　　　　　　　　　　"</f>
        <v>１２２０　　　　　　　　　　　　　　　　</v>
      </c>
      <c r="L4630" s="1"/>
    </row>
    <row r="4631" spans="1:12" ht="18" customHeight="1" x14ac:dyDescent="0.15">
      <c r="A4631" s="11">
        <v>989</v>
      </c>
      <c r="B4631" s="11" t="s">
        <v>28</v>
      </c>
      <c r="C4631" s="11" t="s">
        <v>145</v>
      </c>
      <c r="D4631" s="11">
        <v>1</v>
      </c>
      <c r="E4631" s="11" t="s">
        <v>4</v>
      </c>
      <c r="F4631" s="12">
        <v>47510</v>
      </c>
      <c r="G4631" s="12">
        <v>47510</v>
      </c>
      <c r="H4631" s="11" t="str">
        <f t="shared" si="148"/>
        <v>平成6年9月22日</v>
      </c>
      <c r="I4631" s="22">
        <f t="shared" si="149"/>
        <v>34599</v>
      </c>
      <c r="J4631" s="1" t="str">
        <f>"00738351"</f>
        <v>00738351</v>
      </c>
      <c r="K4631" s="1" t="str">
        <f>"１２２１　　　　　　　　　　　　　　　　"</f>
        <v>１２２１　　　　　　　　　　　　　　　　</v>
      </c>
      <c r="L4631" s="1"/>
    </row>
    <row r="4632" spans="1:12" ht="18" customHeight="1" x14ac:dyDescent="0.15">
      <c r="A4632" s="11">
        <v>990</v>
      </c>
      <c r="B4632" s="11" t="s">
        <v>28</v>
      </c>
      <c r="C4632" s="11" t="s">
        <v>145</v>
      </c>
      <c r="D4632" s="11">
        <v>1</v>
      </c>
      <c r="E4632" s="11" t="s">
        <v>4</v>
      </c>
      <c r="F4632" s="12">
        <v>47510</v>
      </c>
      <c r="G4632" s="12">
        <v>47510</v>
      </c>
      <c r="H4632" s="11" t="str">
        <f t="shared" si="148"/>
        <v>平成6年9月22日</v>
      </c>
      <c r="I4632" s="22">
        <f t="shared" si="149"/>
        <v>34599</v>
      </c>
      <c r="J4632" s="1" t="str">
        <f>"00738353"</f>
        <v>00738353</v>
      </c>
      <c r="K4632" s="1" t="str">
        <f>"１２２２　　　　　　　　　　　　　　　　"</f>
        <v>１２２２　　　　　　　　　　　　　　　　</v>
      </c>
      <c r="L4632" s="1"/>
    </row>
    <row r="4633" spans="1:12" ht="18" customHeight="1" x14ac:dyDescent="0.15">
      <c r="A4633" s="11">
        <v>991</v>
      </c>
      <c r="B4633" s="11" t="s">
        <v>28</v>
      </c>
      <c r="C4633" s="11" t="s">
        <v>145</v>
      </c>
      <c r="D4633" s="11">
        <v>1</v>
      </c>
      <c r="E4633" s="11" t="s">
        <v>4</v>
      </c>
      <c r="F4633" s="12">
        <v>47510</v>
      </c>
      <c r="G4633" s="12">
        <v>47510</v>
      </c>
      <c r="H4633" s="11" t="str">
        <f t="shared" si="148"/>
        <v>平成6年9月22日</v>
      </c>
      <c r="I4633" s="22">
        <f t="shared" si="149"/>
        <v>34599</v>
      </c>
      <c r="J4633" s="1" t="str">
        <f>"00738355"</f>
        <v>00738355</v>
      </c>
      <c r="K4633" s="1" t="str">
        <f>"１２２３　　　　　　　　　　　　　　　　"</f>
        <v>１２２３　　　　　　　　　　　　　　　　</v>
      </c>
      <c r="L4633" s="1"/>
    </row>
    <row r="4634" spans="1:12" ht="18" customHeight="1" x14ac:dyDescent="0.15">
      <c r="A4634" s="11">
        <v>992</v>
      </c>
      <c r="B4634" s="11" t="s">
        <v>28</v>
      </c>
      <c r="C4634" s="11" t="s">
        <v>145</v>
      </c>
      <c r="D4634" s="11">
        <v>1</v>
      </c>
      <c r="E4634" s="11" t="s">
        <v>4</v>
      </c>
      <c r="F4634" s="12">
        <v>47510</v>
      </c>
      <c r="G4634" s="12">
        <v>47510</v>
      </c>
      <c r="H4634" s="11" t="str">
        <f t="shared" si="148"/>
        <v>平成6年9月22日</v>
      </c>
      <c r="I4634" s="22">
        <f t="shared" si="149"/>
        <v>34599</v>
      </c>
      <c r="J4634" s="1" t="str">
        <f>"00738357"</f>
        <v>00738357</v>
      </c>
      <c r="K4634" s="1" t="str">
        <f>"１２２４　　　　　　　　　　　　　　　　"</f>
        <v>１２２４　　　　　　　　　　　　　　　　</v>
      </c>
      <c r="L4634" s="1"/>
    </row>
    <row r="4635" spans="1:12" ht="18" customHeight="1" x14ac:dyDescent="0.15">
      <c r="A4635" s="11">
        <v>993</v>
      </c>
      <c r="B4635" s="11" t="s">
        <v>28</v>
      </c>
      <c r="C4635" s="11" t="s">
        <v>145</v>
      </c>
      <c r="D4635" s="11">
        <v>1</v>
      </c>
      <c r="E4635" s="11" t="s">
        <v>4</v>
      </c>
      <c r="F4635" s="12">
        <v>47510</v>
      </c>
      <c r="G4635" s="12">
        <v>47510</v>
      </c>
      <c r="H4635" s="11" t="str">
        <f t="shared" si="148"/>
        <v>平成6年9月22日</v>
      </c>
      <c r="I4635" s="22">
        <f t="shared" si="149"/>
        <v>34599</v>
      </c>
      <c r="J4635" s="1" t="str">
        <f>"00738359"</f>
        <v>00738359</v>
      </c>
      <c r="K4635" s="1" t="str">
        <f>"１２２５　　　　　　　　　　　　　　　　"</f>
        <v>１２２５　　　　　　　　　　　　　　　　</v>
      </c>
      <c r="L4635" s="1"/>
    </row>
    <row r="4636" spans="1:12" ht="18" customHeight="1" x14ac:dyDescent="0.15">
      <c r="A4636" s="11">
        <v>994</v>
      </c>
      <c r="B4636" s="11" t="s">
        <v>28</v>
      </c>
      <c r="C4636" s="11" t="s">
        <v>145</v>
      </c>
      <c r="D4636" s="11">
        <v>1</v>
      </c>
      <c r="E4636" s="11" t="s">
        <v>4</v>
      </c>
      <c r="F4636" s="12">
        <v>47510</v>
      </c>
      <c r="G4636" s="12">
        <v>47510</v>
      </c>
      <c r="H4636" s="11" t="str">
        <f t="shared" si="148"/>
        <v>平成6年9月22日</v>
      </c>
      <c r="I4636" s="22">
        <f t="shared" si="149"/>
        <v>34599</v>
      </c>
      <c r="J4636" s="1" t="str">
        <f>"00738361"</f>
        <v>00738361</v>
      </c>
      <c r="K4636" s="1" t="str">
        <f>"１２２６　　　　　　　　　　　　　　　　"</f>
        <v>１２２６　　　　　　　　　　　　　　　　</v>
      </c>
      <c r="L4636" s="1"/>
    </row>
    <row r="4637" spans="1:12" ht="18" customHeight="1" x14ac:dyDescent="0.15">
      <c r="A4637" s="11">
        <v>995</v>
      </c>
      <c r="B4637" s="11" t="s">
        <v>28</v>
      </c>
      <c r="C4637" s="11" t="s">
        <v>145</v>
      </c>
      <c r="D4637" s="11">
        <v>1</v>
      </c>
      <c r="E4637" s="11" t="s">
        <v>4</v>
      </c>
      <c r="F4637" s="12">
        <v>47510</v>
      </c>
      <c r="G4637" s="12">
        <v>47510</v>
      </c>
      <c r="H4637" s="11" t="str">
        <f t="shared" si="148"/>
        <v>平成6年9月22日</v>
      </c>
      <c r="I4637" s="22">
        <f t="shared" si="149"/>
        <v>34599</v>
      </c>
      <c r="J4637" s="1" t="str">
        <f>"00738363"</f>
        <v>00738363</v>
      </c>
      <c r="K4637" s="1" t="str">
        <f>"１２２７　　　　　　　　　　　　　　　　"</f>
        <v>１２２７　　　　　　　　　　　　　　　　</v>
      </c>
      <c r="L4637" s="1"/>
    </row>
    <row r="4638" spans="1:12" ht="18" customHeight="1" x14ac:dyDescent="0.15">
      <c r="A4638" s="11">
        <v>996</v>
      </c>
      <c r="B4638" s="11" t="s">
        <v>28</v>
      </c>
      <c r="C4638" s="11" t="s">
        <v>145</v>
      </c>
      <c r="D4638" s="11">
        <v>1</v>
      </c>
      <c r="E4638" s="11" t="s">
        <v>4</v>
      </c>
      <c r="F4638" s="12">
        <v>47510</v>
      </c>
      <c r="G4638" s="12">
        <v>47510</v>
      </c>
      <c r="H4638" s="11" t="str">
        <f t="shared" si="148"/>
        <v>平成6年9月22日</v>
      </c>
      <c r="I4638" s="22">
        <f t="shared" si="149"/>
        <v>34599</v>
      </c>
      <c r="J4638" s="1" t="str">
        <f>"00738365"</f>
        <v>00738365</v>
      </c>
      <c r="K4638" s="1" t="str">
        <f>"１２２８　　　　　　　　　　　　　　　　"</f>
        <v>１２２８　　　　　　　　　　　　　　　　</v>
      </c>
      <c r="L4638" s="1"/>
    </row>
    <row r="4639" spans="1:12" ht="18" customHeight="1" x14ac:dyDescent="0.15">
      <c r="A4639" s="11">
        <v>997</v>
      </c>
      <c r="B4639" s="11" t="s">
        <v>28</v>
      </c>
      <c r="C4639" s="11" t="s">
        <v>145</v>
      </c>
      <c r="D4639" s="11">
        <v>1</v>
      </c>
      <c r="E4639" s="11" t="s">
        <v>4</v>
      </c>
      <c r="F4639" s="12">
        <v>47510</v>
      </c>
      <c r="G4639" s="12">
        <v>47510</v>
      </c>
      <c r="H4639" s="11" t="str">
        <f t="shared" si="148"/>
        <v>平成6年9月22日</v>
      </c>
      <c r="I4639" s="22">
        <f t="shared" si="149"/>
        <v>34599</v>
      </c>
      <c r="J4639" s="1" t="str">
        <f>"00738367"</f>
        <v>00738367</v>
      </c>
      <c r="K4639" s="1" t="str">
        <f>"１２２９　　　　　　　　　　　　　　　　"</f>
        <v>１２２９　　　　　　　　　　　　　　　　</v>
      </c>
      <c r="L4639" s="1"/>
    </row>
    <row r="4640" spans="1:12" ht="18" customHeight="1" x14ac:dyDescent="0.15">
      <c r="A4640" s="11">
        <v>998</v>
      </c>
      <c r="B4640" s="11" t="s">
        <v>28</v>
      </c>
      <c r="C4640" s="11" t="s">
        <v>145</v>
      </c>
      <c r="D4640" s="11">
        <v>1</v>
      </c>
      <c r="E4640" s="11" t="s">
        <v>4</v>
      </c>
      <c r="F4640" s="12">
        <v>47510</v>
      </c>
      <c r="G4640" s="12">
        <v>47510</v>
      </c>
      <c r="H4640" s="11" t="str">
        <f t="shared" si="148"/>
        <v>平成6年9月22日</v>
      </c>
      <c r="I4640" s="22">
        <f t="shared" si="149"/>
        <v>34599</v>
      </c>
      <c r="J4640" s="1" t="str">
        <f>"00738369"</f>
        <v>00738369</v>
      </c>
      <c r="K4640" s="1" t="str">
        <f>"１２３０　　　　　　　　　　　　　　　　"</f>
        <v>１２３０　　　　　　　　　　　　　　　　</v>
      </c>
      <c r="L4640" s="1"/>
    </row>
    <row r="4641" spans="1:12" ht="18" customHeight="1" x14ac:dyDescent="0.15">
      <c r="A4641" s="11">
        <v>999</v>
      </c>
      <c r="B4641" s="11" t="s">
        <v>28</v>
      </c>
      <c r="C4641" s="11" t="s">
        <v>145</v>
      </c>
      <c r="D4641" s="11">
        <v>1</v>
      </c>
      <c r="E4641" s="11" t="s">
        <v>4</v>
      </c>
      <c r="F4641" s="12">
        <v>47510</v>
      </c>
      <c r="G4641" s="12">
        <v>47510</v>
      </c>
      <c r="H4641" s="11" t="str">
        <f t="shared" ref="H4641:H4704" si="150">"平成6年9月22日"</f>
        <v>平成6年9月22日</v>
      </c>
      <c r="I4641" s="22">
        <f t="shared" si="149"/>
        <v>34599</v>
      </c>
      <c r="J4641" s="1" t="str">
        <f>"00738371"</f>
        <v>00738371</v>
      </c>
      <c r="K4641" s="1" t="str">
        <f>"１２３１　　　　　　　　　　　　　　　　"</f>
        <v>１２３１　　　　　　　　　　　　　　　　</v>
      </c>
      <c r="L4641" s="1"/>
    </row>
    <row r="4642" spans="1:12" ht="18" customHeight="1" x14ac:dyDescent="0.15">
      <c r="A4642" s="11">
        <v>1000</v>
      </c>
      <c r="B4642" s="11" t="s">
        <v>28</v>
      </c>
      <c r="C4642" s="11" t="s">
        <v>145</v>
      </c>
      <c r="D4642" s="11">
        <v>1</v>
      </c>
      <c r="E4642" s="11" t="s">
        <v>4</v>
      </c>
      <c r="F4642" s="12">
        <v>47510</v>
      </c>
      <c r="G4642" s="12">
        <v>47510</v>
      </c>
      <c r="H4642" s="11" t="str">
        <f t="shared" si="150"/>
        <v>平成6年9月22日</v>
      </c>
      <c r="I4642" s="22">
        <f t="shared" si="149"/>
        <v>34599</v>
      </c>
      <c r="J4642" s="1" t="str">
        <f>"00738373"</f>
        <v>00738373</v>
      </c>
      <c r="K4642" s="1" t="str">
        <f>"１２３２　　　　　　　　　　　　　　　　"</f>
        <v>１２３２　　　　　　　　　　　　　　　　</v>
      </c>
      <c r="L4642" s="1"/>
    </row>
    <row r="4643" spans="1:12" ht="18" customHeight="1" x14ac:dyDescent="0.15">
      <c r="A4643" s="11">
        <v>1001</v>
      </c>
      <c r="B4643" s="11" t="s">
        <v>28</v>
      </c>
      <c r="C4643" s="11" t="s">
        <v>145</v>
      </c>
      <c r="D4643" s="11">
        <v>1</v>
      </c>
      <c r="E4643" s="11" t="s">
        <v>4</v>
      </c>
      <c r="F4643" s="12">
        <v>47510</v>
      </c>
      <c r="G4643" s="12">
        <v>47510</v>
      </c>
      <c r="H4643" s="11" t="str">
        <f t="shared" si="150"/>
        <v>平成6年9月22日</v>
      </c>
      <c r="I4643" s="22">
        <f t="shared" si="149"/>
        <v>34599</v>
      </c>
      <c r="J4643" s="1" t="str">
        <f>"00738375"</f>
        <v>00738375</v>
      </c>
      <c r="K4643" s="1" t="str">
        <f>"１２３３　　　　　　　　　　　　　　　　"</f>
        <v>１２３３　　　　　　　　　　　　　　　　</v>
      </c>
      <c r="L4643" s="1"/>
    </row>
    <row r="4644" spans="1:12" ht="18" customHeight="1" x14ac:dyDescent="0.15">
      <c r="A4644" s="11">
        <v>1002</v>
      </c>
      <c r="B4644" s="11" t="s">
        <v>28</v>
      </c>
      <c r="C4644" s="11" t="s">
        <v>145</v>
      </c>
      <c r="D4644" s="11">
        <v>1</v>
      </c>
      <c r="E4644" s="11" t="s">
        <v>4</v>
      </c>
      <c r="F4644" s="12">
        <v>47510</v>
      </c>
      <c r="G4644" s="12">
        <v>47510</v>
      </c>
      <c r="H4644" s="11" t="str">
        <f t="shared" si="150"/>
        <v>平成6年9月22日</v>
      </c>
      <c r="I4644" s="22">
        <f t="shared" si="149"/>
        <v>34599</v>
      </c>
      <c r="J4644" s="1" t="str">
        <f>"00738377"</f>
        <v>00738377</v>
      </c>
      <c r="K4644" s="1" t="str">
        <f>"１２３４　　　　　　　　　　　　　　　　"</f>
        <v>１２３４　　　　　　　　　　　　　　　　</v>
      </c>
      <c r="L4644" s="1"/>
    </row>
    <row r="4645" spans="1:12" ht="18" customHeight="1" x14ac:dyDescent="0.15">
      <c r="A4645" s="11">
        <v>1003</v>
      </c>
      <c r="B4645" s="11" t="s">
        <v>28</v>
      </c>
      <c r="C4645" s="11" t="s">
        <v>145</v>
      </c>
      <c r="D4645" s="11">
        <v>1</v>
      </c>
      <c r="E4645" s="11" t="s">
        <v>4</v>
      </c>
      <c r="F4645" s="12">
        <v>47510</v>
      </c>
      <c r="G4645" s="12">
        <v>47510</v>
      </c>
      <c r="H4645" s="11" t="str">
        <f t="shared" si="150"/>
        <v>平成6年9月22日</v>
      </c>
      <c r="I4645" s="22">
        <f t="shared" si="149"/>
        <v>34599</v>
      </c>
      <c r="J4645" s="1" t="str">
        <f>"00738379"</f>
        <v>00738379</v>
      </c>
      <c r="K4645" s="1" t="str">
        <f>"１２３５　　　　　　　　　　　　　　　　"</f>
        <v>１２３５　　　　　　　　　　　　　　　　</v>
      </c>
      <c r="L4645" s="1"/>
    </row>
    <row r="4646" spans="1:12" ht="18" customHeight="1" x14ac:dyDescent="0.15">
      <c r="A4646" s="11">
        <v>1004</v>
      </c>
      <c r="B4646" s="11" t="s">
        <v>28</v>
      </c>
      <c r="C4646" s="11" t="s">
        <v>145</v>
      </c>
      <c r="D4646" s="11">
        <v>1</v>
      </c>
      <c r="E4646" s="11" t="s">
        <v>4</v>
      </c>
      <c r="F4646" s="12">
        <v>47510</v>
      </c>
      <c r="G4646" s="12">
        <v>47510</v>
      </c>
      <c r="H4646" s="11" t="str">
        <f t="shared" si="150"/>
        <v>平成6年9月22日</v>
      </c>
      <c r="I4646" s="22">
        <f t="shared" si="149"/>
        <v>34599</v>
      </c>
      <c r="J4646" s="1" t="str">
        <f>"00738381"</f>
        <v>00738381</v>
      </c>
      <c r="K4646" s="1" t="str">
        <f>"１２３６　　　　　　　　　　　　　　　　"</f>
        <v>１２３６　　　　　　　　　　　　　　　　</v>
      </c>
      <c r="L4646" s="1"/>
    </row>
    <row r="4647" spans="1:12" ht="18" customHeight="1" x14ac:dyDescent="0.15">
      <c r="A4647" s="11">
        <v>1005</v>
      </c>
      <c r="B4647" s="11" t="s">
        <v>28</v>
      </c>
      <c r="C4647" s="11" t="s">
        <v>145</v>
      </c>
      <c r="D4647" s="11">
        <v>1</v>
      </c>
      <c r="E4647" s="11" t="s">
        <v>4</v>
      </c>
      <c r="F4647" s="12">
        <v>47510</v>
      </c>
      <c r="G4647" s="12">
        <v>47510</v>
      </c>
      <c r="H4647" s="11" t="str">
        <f t="shared" si="150"/>
        <v>平成6年9月22日</v>
      </c>
      <c r="I4647" s="22">
        <f t="shared" si="149"/>
        <v>34599</v>
      </c>
      <c r="J4647" s="1" t="str">
        <f>"00738385"</f>
        <v>00738385</v>
      </c>
      <c r="K4647" s="1" t="str">
        <f>"１２３８　　　　　　　　　　　　　　　　"</f>
        <v>１２３８　　　　　　　　　　　　　　　　</v>
      </c>
      <c r="L4647" s="1"/>
    </row>
    <row r="4648" spans="1:12" ht="18" customHeight="1" x14ac:dyDescent="0.15">
      <c r="A4648" s="11">
        <v>1006</v>
      </c>
      <c r="B4648" s="11" t="s">
        <v>28</v>
      </c>
      <c r="C4648" s="11" t="s">
        <v>146</v>
      </c>
      <c r="D4648" s="11">
        <v>1</v>
      </c>
      <c r="E4648" s="11" t="s">
        <v>4</v>
      </c>
      <c r="F4648" s="12">
        <v>20818</v>
      </c>
      <c r="G4648" s="12">
        <v>20818</v>
      </c>
      <c r="H4648" s="11" t="str">
        <f t="shared" si="150"/>
        <v>平成6年9月22日</v>
      </c>
      <c r="I4648" s="22">
        <f t="shared" si="149"/>
        <v>34599</v>
      </c>
      <c r="J4648" s="1" t="str">
        <f>"00738387"</f>
        <v>00738387</v>
      </c>
      <c r="K4648" s="1" t="str">
        <f>"１２３９　　　　　　　　　　　　　　　　"</f>
        <v>１２３９　　　　　　　　　　　　　　　　</v>
      </c>
      <c r="L4648" s="1"/>
    </row>
    <row r="4649" spans="1:12" ht="18" customHeight="1" x14ac:dyDescent="0.15">
      <c r="A4649" s="11">
        <v>1007</v>
      </c>
      <c r="B4649" s="11" t="s">
        <v>28</v>
      </c>
      <c r="C4649" s="11" t="s">
        <v>146</v>
      </c>
      <c r="D4649" s="11">
        <v>1</v>
      </c>
      <c r="E4649" s="11" t="s">
        <v>4</v>
      </c>
      <c r="F4649" s="12">
        <v>20818</v>
      </c>
      <c r="G4649" s="12">
        <v>20818</v>
      </c>
      <c r="H4649" s="11" t="str">
        <f t="shared" si="150"/>
        <v>平成6年9月22日</v>
      </c>
      <c r="I4649" s="22">
        <f t="shared" si="149"/>
        <v>34599</v>
      </c>
      <c r="J4649" s="1" t="str">
        <f>"00738389"</f>
        <v>00738389</v>
      </c>
      <c r="K4649" s="1" t="str">
        <f>"１２４０　　　　　　　　　　　　　　　　"</f>
        <v>１２４０　　　　　　　　　　　　　　　　</v>
      </c>
      <c r="L4649" s="1"/>
    </row>
    <row r="4650" spans="1:12" ht="18" customHeight="1" x14ac:dyDescent="0.15">
      <c r="A4650" s="11">
        <v>1008</v>
      </c>
      <c r="B4650" s="11" t="s">
        <v>28</v>
      </c>
      <c r="C4650" s="11" t="s">
        <v>146</v>
      </c>
      <c r="D4650" s="11">
        <v>1</v>
      </c>
      <c r="E4650" s="11" t="s">
        <v>4</v>
      </c>
      <c r="F4650" s="12">
        <v>20818</v>
      </c>
      <c r="G4650" s="12">
        <v>20818</v>
      </c>
      <c r="H4650" s="11" t="str">
        <f t="shared" si="150"/>
        <v>平成6年9月22日</v>
      </c>
      <c r="I4650" s="22">
        <f t="shared" si="149"/>
        <v>34599</v>
      </c>
      <c r="J4650" s="1" t="str">
        <f>"00738391"</f>
        <v>00738391</v>
      </c>
      <c r="K4650" s="1" t="str">
        <f>"１２４１　　　　　　　　　　　　　　　　"</f>
        <v>１２４１　　　　　　　　　　　　　　　　</v>
      </c>
      <c r="L4650" s="1"/>
    </row>
    <row r="4651" spans="1:12" ht="18" customHeight="1" x14ac:dyDescent="0.15">
      <c r="A4651" s="11">
        <v>1009</v>
      </c>
      <c r="B4651" s="11" t="s">
        <v>28</v>
      </c>
      <c r="C4651" s="11" t="s">
        <v>146</v>
      </c>
      <c r="D4651" s="11">
        <v>1</v>
      </c>
      <c r="E4651" s="11" t="s">
        <v>4</v>
      </c>
      <c r="F4651" s="12">
        <v>20818</v>
      </c>
      <c r="G4651" s="12">
        <v>20818</v>
      </c>
      <c r="H4651" s="11" t="str">
        <f t="shared" si="150"/>
        <v>平成6年9月22日</v>
      </c>
      <c r="I4651" s="22">
        <f t="shared" si="149"/>
        <v>34599</v>
      </c>
      <c r="J4651" s="1" t="str">
        <f>"00738393"</f>
        <v>00738393</v>
      </c>
      <c r="K4651" s="1" t="str">
        <f>"１２４２　　　　　　　　　　　　　　　　"</f>
        <v>１２４２　　　　　　　　　　　　　　　　</v>
      </c>
      <c r="L4651" s="1"/>
    </row>
    <row r="4652" spans="1:12" ht="18" customHeight="1" x14ac:dyDescent="0.15">
      <c r="A4652" s="11">
        <v>1010</v>
      </c>
      <c r="B4652" s="11" t="s">
        <v>28</v>
      </c>
      <c r="C4652" s="11" t="s">
        <v>146</v>
      </c>
      <c r="D4652" s="11">
        <v>1</v>
      </c>
      <c r="E4652" s="11" t="s">
        <v>4</v>
      </c>
      <c r="F4652" s="12">
        <v>20818</v>
      </c>
      <c r="G4652" s="12">
        <v>20818</v>
      </c>
      <c r="H4652" s="11" t="str">
        <f t="shared" si="150"/>
        <v>平成6年9月22日</v>
      </c>
      <c r="I4652" s="22">
        <f t="shared" si="149"/>
        <v>34599</v>
      </c>
      <c r="J4652" s="1" t="str">
        <f>"00738395"</f>
        <v>00738395</v>
      </c>
      <c r="K4652" s="1" t="str">
        <f>"１２４３　　　　　　　　　　　　　　　　"</f>
        <v>１２４３　　　　　　　　　　　　　　　　</v>
      </c>
      <c r="L4652" s="1"/>
    </row>
    <row r="4653" spans="1:12" ht="18" customHeight="1" x14ac:dyDescent="0.15">
      <c r="A4653" s="11">
        <v>1011</v>
      </c>
      <c r="B4653" s="11" t="s">
        <v>28</v>
      </c>
      <c r="C4653" s="11" t="s">
        <v>146</v>
      </c>
      <c r="D4653" s="11">
        <v>1</v>
      </c>
      <c r="E4653" s="11" t="s">
        <v>4</v>
      </c>
      <c r="F4653" s="12">
        <v>20818</v>
      </c>
      <c r="G4653" s="12">
        <v>20818</v>
      </c>
      <c r="H4653" s="11" t="str">
        <f t="shared" si="150"/>
        <v>平成6年9月22日</v>
      </c>
      <c r="I4653" s="22">
        <f t="shared" si="149"/>
        <v>34599</v>
      </c>
      <c r="J4653" s="1" t="str">
        <f>"00738397"</f>
        <v>00738397</v>
      </c>
      <c r="K4653" s="1" t="str">
        <f>"１２４４　　　　　　　　　　　　　　　　"</f>
        <v>１２４４　　　　　　　　　　　　　　　　</v>
      </c>
      <c r="L4653" s="1"/>
    </row>
    <row r="4654" spans="1:12" ht="18" customHeight="1" x14ac:dyDescent="0.15">
      <c r="A4654" s="11">
        <v>1012</v>
      </c>
      <c r="B4654" s="11" t="s">
        <v>28</v>
      </c>
      <c r="C4654" s="11" t="s">
        <v>146</v>
      </c>
      <c r="D4654" s="11">
        <v>1</v>
      </c>
      <c r="E4654" s="11" t="s">
        <v>4</v>
      </c>
      <c r="F4654" s="12">
        <v>20818</v>
      </c>
      <c r="G4654" s="12">
        <v>20818</v>
      </c>
      <c r="H4654" s="11" t="str">
        <f t="shared" si="150"/>
        <v>平成6年9月22日</v>
      </c>
      <c r="I4654" s="22">
        <f t="shared" si="149"/>
        <v>34599</v>
      </c>
      <c r="J4654" s="1" t="str">
        <f>"00738399"</f>
        <v>00738399</v>
      </c>
      <c r="K4654" s="1" t="str">
        <f>"１２４５　　　　　　　　　　　　　　　　"</f>
        <v>１２４５　　　　　　　　　　　　　　　　</v>
      </c>
      <c r="L4654" s="1"/>
    </row>
    <row r="4655" spans="1:12" ht="18" customHeight="1" x14ac:dyDescent="0.15">
      <c r="A4655" s="11">
        <v>1013</v>
      </c>
      <c r="B4655" s="11" t="s">
        <v>28</v>
      </c>
      <c r="C4655" s="11" t="s">
        <v>146</v>
      </c>
      <c r="D4655" s="11">
        <v>1</v>
      </c>
      <c r="E4655" s="11" t="s">
        <v>4</v>
      </c>
      <c r="F4655" s="12">
        <v>20818</v>
      </c>
      <c r="G4655" s="12">
        <v>20818</v>
      </c>
      <c r="H4655" s="11" t="str">
        <f t="shared" si="150"/>
        <v>平成6年9月22日</v>
      </c>
      <c r="I4655" s="22">
        <f t="shared" si="149"/>
        <v>34599</v>
      </c>
      <c r="J4655" s="1" t="str">
        <f>"00738401"</f>
        <v>00738401</v>
      </c>
      <c r="K4655" s="1" t="str">
        <f>"１２４６　　　　　　　　　　　　　　　　"</f>
        <v>１２４６　　　　　　　　　　　　　　　　</v>
      </c>
      <c r="L4655" s="1"/>
    </row>
    <row r="4656" spans="1:12" ht="18" customHeight="1" x14ac:dyDescent="0.15">
      <c r="A4656" s="11">
        <v>1014</v>
      </c>
      <c r="B4656" s="11" t="s">
        <v>28</v>
      </c>
      <c r="C4656" s="11" t="s">
        <v>146</v>
      </c>
      <c r="D4656" s="11">
        <v>1</v>
      </c>
      <c r="E4656" s="11" t="s">
        <v>4</v>
      </c>
      <c r="F4656" s="12">
        <v>20818</v>
      </c>
      <c r="G4656" s="12">
        <v>20818</v>
      </c>
      <c r="H4656" s="11" t="str">
        <f t="shared" si="150"/>
        <v>平成6年9月22日</v>
      </c>
      <c r="I4656" s="22">
        <f t="shared" si="149"/>
        <v>34599</v>
      </c>
      <c r="J4656" s="1" t="str">
        <f>"00738403"</f>
        <v>00738403</v>
      </c>
      <c r="K4656" s="1" t="str">
        <f>"１２４７　　　　　　　　　　　　　　　　"</f>
        <v>１２４７　　　　　　　　　　　　　　　　</v>
      </c>
      <c r="L4656" s="1"/>
    </row>
    <row r="4657" spans="1:12" ht="18" customHeight="1" x14ac:dyDescent="0.15">
      <c r="A4657" s="11">
        <v>1015</v>
      </c>
      <c r="B4657" s="11" t="s">
        <v>28</v>
      </c>
      <c r="C4657" s="11" t="s">
        <v>146</v>
      </c>
      <c r="D4657" s="11">
        <v>1</v>
      </c>
      <c r="E4657" s="11" t="s">
        <v>4</v>
      </c>
      <c r="F4657" s="12">
        <v>20818</v>
      </c>
      <c r="G4657" s="12">
        <v>20818</v>
      </c>
      <c r="H4657" s="11" t="str">
        <f t="shared" si="150"/>
        <v>平成6年9月22日</v>
      </c>
      <c r="I4657" s="22">
        <f t="shared" si="149"/>
        <v>34599</v>
      </c>
      <c r="J4657" s="1" t="str">
        <f>"00738405"</f>
        <v>00738405</v>
      </c>
      <c r="K4657" s="1" t="str">
        <f>"１２４８　　　　　　　　　　　　　　　　"</f>
        <v>１２４８　　　　　　　　　　　　　　　　</v>
      </c>
      <c r="L4657" s="1"/>
    </row>
    <row r="4658" spans="1:12" ht="18" customHeight="1" x14ac:dyDescent="0.15">
      <c r="A4658" s="11">
        <v>1016</v>
      </c>
      <c r="B4658" s="11" t="s">
        <v>28</v>
      </c>
      <c r="C4658" s="11" t="s">
        <v>146</v>
      </c>
      <c r="D4658" s="11">
        <v>1</v>
      </c>
      <c r="E4658" s="11" t="s">
        <v>4</v>
      </c>
      <c r="F4658" s="12">
        <v>20818</v>
      </c>
      <c r="G4658" s="12">
        <v>20818</v>
      </c>
      <c r="H4658" s="11" t="str">
        <f t="shared" si="150"/>
        <v>平成6年9月22日</v>
      </c>
      <c r="I4658" s="22">
        <f t="shared" si="149"/>
        <v>34599</v>
      </c>
      <c r="J4658" s="1" t="str">
        <f>"00738407"</f>
        <v>00738407</v>
      </c>
      <c r="K4658" s="1" t="str">
        <f>"１２４９　　　　　　　　　　　　　　　　"</f>
        <v>１２４９　　　　　　　　　　　　　　　　</v>
      </c>
      <c r="L4658" s="1"/>
    </row>
    <row r="4659" spans="1:12" ht="18" customHeight="1" x14ac:dyDescent="0.15">
      <c r="A4659" s="11">
        <v>1017</v>
      </c>
      <c r="B4659" s="11" t="s">
        <v>28</v>
      </c>
      <c r="C4659" s="11" t="s">
        <v>146</v>
      </c>
      <c r="D4659" s="11">
        <v>1</v>
      </c>
      <c r="E4659" s="11" t="s">
        <v>4</v>
      </c>
      <c r="F4659" s="12">
        <v>20818</v>
      </c>
      <c r="G4659" s="12">
        <v>20818</v>
      </c>
      <c r="H4659" s="11" t="str">
        <f t="shared" si="150"/>
        <v>平成6年9月22日</v>
      </c>
      <c r="I4659" s="22">
        <f t="shared" si="149"/>
        <v>34599</v>
      </c>
      <c r="J4659" s="1" t="str">
        <f>"00738409"</f>
        <v>00738409</v>
      </c>
      <c r="K4659" s="1" t="str">
        <f>"１２５０　　　　　　　　　　　　　　　　"</f>
        <v>１２５０　　　　　　　　　　　　　　　　</v>
      </c>
      <c r="L4659" s="1"/>
    </row>
    <row r="4660" spans="1:12" ht="18" customHeight="1" x14ac:dyDescent="0.15">
      <c r="A4660" s="11">
        <v>1018</v>
      </c>
      <c r="B4660" s="11" t="s">
        <v>28</v>
      </c>
      <c r="C4660" s="11" t="s">
        <v>146</v>
      </c>
      <c r="D4660" s="11">
        <v>1</v>
      </c>
      <c r="E4660" s="11" t="s">
        <v>4</v>
      </c>
      <c r="F4660" s="12">
        <v>20818</v>
      </c>
      <c r="G4660" s="12">
        <v>20818</v>
      </c>
      <c r="H4660" s="11" t="str">
        <f t="shared" si="150"/>
        <v>平成6年9月22日</v>
      </c>
      <c r="I4660" s="22">
        <f t="shared" si="149"/>
        <v>34599</v>
      </c>
      <c r="J4660" s="1" t="str">
        <f>"00738411"</f>
        <v>00738411</v>
      </c>
      <c r="K4660" s="1" t="str">
        <f>"１２５１　　　　　　　　　　　　　　　　"</f>
        <v>１２５１　　　　　　　　　　　　　　　　</v>
      </c>
      <c r="L4660" s="1"/>
    </row>
    <row r="4661" spans="1:12" ht="18" customHeight="1" x14ac:dyDescent="0.15">
      <c r="A4661" s="11">
        <v>1019</v>
      </c>
      <c r="B4661" s="11" t="s">
        <v>28</v>
      </c>
      <c r="C4661" s="11" t="s">
        <v>146</v>
      </c>
      <c r="D4661" s="11">
        <v>1</v>
      </c>
      <c r="E4661" s="11" t="s">
        <v>4</v>
      </c>
      <c r="F4661" s="12">
        <v>20818</v>
      </c>
      <c r="G4661" s="12">
        <v>20818</v>
      </c>
      <c r="H4661" s="11" t="str">
        <f t="shared" si="150"/>
        <v>平成6年9月22日</v>
      </c>
      <c r="I4661" s="22">
        <f t="shared" si="149"/>
        <v>34599</v>
      </c>
      <c r="J4661" s="1" t="str">
        <f>"00738413"</f>
        <v>00738413</v>
      </c>
      <c r="K4661" s="1" t="str">
        <f>"１２５２　　　　　　　　　　　　　　　　"</f>
        <v>１２５２　　　　　　　　　　　　　　　　</v>
      </c>
      <c r="L4661" s="1"/>
    </row>
    <row r="4662" spans="1:12" ht="18" customHeight="1" x14ac:dyDescent="0.15">
      <c r="A4662" s="11">
        <v>1020</v>
      </c>
      <c r="B4662" s="11" t="s">
        <v>28</v>
      </c>
      <c r="C4662" s="11" t="s">
        <v>146</v>
      </c>
      <c r="D4662" s="11">
        <v>1</v>
      </c>
      <c r="E4662" s="11" t="s">
        <v>4</v>
      </c>
      <c r="F4662" s="12">
        <v>20818</v>
      </c>
      <c r="G4662" s="12">
        <v>20818</v>
      </c>
      <c r="H4662" s="11" t="str">
        <f t="shared" si="150"/>
        <v>平成6年9月22日</v>
      </c>
      <c r="I4662" s="22">
        <f t="shared" si="149"/>
        <v>34599</v>
      </c>
      <c r="J4662" s="1" t="str">
        <f>"00738415"</f>
        <v>00738415</v>
      </c>
      <c r="K4662" s="1" t="str">
        <f>"１２５３　　　　　　　　　　　　　　　　"</f>
        <v>１２５３　　　　　　　　　　　　　　　　</v>
      </c>
      <c r="L4662" s="1"/>
    </row>
    <row r="4663" spans="1:12" ht="18" customHeight="1" x14ac:dyDescent="0.15">
      <c r="A4663" s="11">
        <v>1021</v>
      </c>
      <c r="B4663" s="11" t="s">
        <v>28</v>
      </c>
      <c r="C4663" s="11" t="s">
        <v>146</v>
      </c>
      <c r="D4663" s="11">
        <v>1</v>
      </c>
      <c r="E4663" s="11" t="s">
        <v>4</v>
      </c>
      <c r="F4663" s="12">
        <v>20818</v>
      </c>
      <c r="G4663" s="12">
        <v>20818</v>
      </c>
      <c r="H4663" s="11" t="str">
        <f t="shared" si="150"/>
        <v>平成6年9月22日</v>
      </c>
      <c r="I4663" s="22">
        <f t="shared" si="149"/>
        <v>34599</v>
      </c>
      <c r="J4663" s="1" t="str">
        <f>"00738417"</f>
        <v>00738417</v>
      </c>
      <c r="K4663" s="1" t="str">
        <f>"１２５４　　　　　　　　　　　　　　　　"</f>
        <v>１２５４　　　　　　　　　　　　　　　　</v>
      </c>
      <c r="L4663" s="1"/>
    </row>
    <row r="4664" spans="1:12" ht="18" customHeight="1" x14ac:dyDescent="0.15">
      <c r="A4664" s="11">
        <v>1022</v>
      </c>
      <c r="B4664" s="11" t="s">
        <v>28</v>
      </c>
      <c r="C4664" s="11" t="s">
        <v>146</v>
      </c>
      <c r="D4664" s="11">
        <v>1</v>
      </c>
      <c r="E4664" s="11" t="s">
        <v>4</v>
      </c>
      <c r="F4664" s="12">
        <v>20818</v>
      </c>
      <c r="G4664" s="12">
        <v>20818</v>
      </c>
      <c r="H4664" s="11" t="str">
        <f t="shared" si="150"/>
        <v>平成6年9月22日</v>
      </c>
      <c r="I4664" s="22">
        <f t="shared" si="149"/>
        <v>34599</v>
      </c>
      <c r="J4664" s="1" t="str">
        <f>"00738419"</f>
        <v>00738419</v>
      </c>
      <c r="K4664" s="1" t="str">
        <f>"１２５５　　　　　　　　　　　　　　　　"</f>
        <v>１２５５　　　　　　　　　　　　　　　　</v>
      </c>
      <c r="L4664" s="1"/>
    </row>
    <row r="4665" spans="1:12" ht="18" customHeight="1" x14ac:dyDescent="0.15">
      <c r="A4665" s="11">
        <v>1023</v>
      </c>
      <c r="B4665" s="11" t="s">
        <v>28</v>
      </c>
      <c r="C4665" s="11" t="s">
        <v>146</v>
      </c>
      <c r="D4665" s="11">
        <v>1</v>
      </c>
      <c r="E4665" s="11" t="s">
        <v>4</v>
      </c>
      <c r="F4665" s="12">
        <v>20818</v>
      </c>
      <c r="G4665" s="12">
        <v>20818</v>
      </c>
      <c r="H4665" s="11" t="str">
        <f t="shared" si="150"/>
        <v>平成6年9月22日</v>
      </c>
      <c r="I4665" s="22">
        <f t="shared" si="149"/>
        <v>34599</v>
      </c>
      <c r="J4665" s="1" t="str">
        <f>"00738421"</f>
        <v>00738421</v>
      </c>
      <c r="K4665" s="1" t="str">
        <f>"１２５６　　　　　　　　　　　　　　　　"</f>
        <v>１２５６　　　　　　　　　　　　　　　　</v>
      </c>
      <c r="L4665" s="1"/>
    </row>
    <row r="4666" spans="1:12" ht="18" customHeight="1" x14ac:dyDescent="0.15">
      <c r="A4666" s="11">
        <v>1024</v>
      </c>
      <c r="B4666" s="11" t="s">
        <v>28</v>
      </c>
      <c r="C4666" s="11" t="s">
        <v>146</v>
      </c>
      <c r="D4666" s="11">
        <v>1</v>
      </c>
      <c r="E4666" s="11" t="s">
        <v>4</v>
      </c>
      <c r="F4666" s="12">
        <v>20818</v>
      </c>
      <c r="G4666" s="12">
        <v>20818</v>
      </c>
      <c r="H4666" s="11" t="str">
        <f t="shared" si="150"/>
        <v>平成6年9月22日</v>
      </c>
      <c r="I4666" s="22">
        <f t="shared" si="149"/>
        <v>34599</v>
      </c>
      <c r="J4666" s="1" t="str">
        <f>"00738423"</f>
        <v>00738423</v>
      </c>
      <c r="K4666" s="1" t="str">
        <f>"１２５７　　　　　　　　　　　　　　　　"</f>
        <v>１２５７　　　　　　　　　　　　　　　　</v>
      </c>
      <c r="L4666" s="1"/>
    </row>
    <row r="4667" spans="1:12" ht="18" customHeight="1" x14ac:dyDescent="0.15">
      <c r="A4667" s="11">
        <v>1025</v>
      </c>
      <c r="B4667" s="11" t="s">
        <v>28</v>
      </c>
      <c r="C4667" s="11" t="s">
        <v>146</v>
      </c>
      <c r="D4667" s="11">
        <v>1</v>
      </c>
      <c r="E4667" s="11" t="s">
        <v>4</v>
      </c>
      <c r="F4667" s="12">
        <v>20818</v>
      </c>
      <c r="G4667" s="12">
        <v>20818</v>
      </c>
      <c r="H4667" s="11" t="str">
        <f t="shared" si="150"/>
        <v>平成6年9月22日</v>
      </c>
      <c r="I4667" s="22">
        <f t="shared" si="149"/>
        <v>34599</v>
      </c>
      <c r="J4667" s="1" t="str">
        <f>"00738425"</f>
        <v>00738425</v>
      </c>
      <c r="K4667" s="1" t="str">
        <f>"１２５８　　　　　　　　　　　　　　　　"</f>
        <v>１２５８　　　　　　　　　　　　　　　　</v>
      </c>
      <c r="L4667" s="1"/>
    </row>
    <row r="4668" spans="1:12" ht="18" customHeight="1" x14ac:dyDescent="0.15">
      <c r="A4668" s="11">
        <v>1026</v>
      </c>
      <c r="B4668" s="11" t="s">
        <v>28</v>
      </c>
      <c r="C4668" s="11" t="s">
        <v>146</v>
      </c>
      <c r="D4668" s="11">
        <v>1</v>
      </c>
      <c r="E4668" s="11" t="s">
        <v>4</v>
      </c>
      <c r="F4668" s="12">
        <v>20818</v>
      </c>
      <c r="G4668" s="12">
        <v>20818</v>
      </c>
      <c r="H4668" s="11" t="str">
        <f t="shared" si="150"/>
        <v>平成6年9月22日</v>
      </c>
      <c r="I4668" s="22">
        <f t="shared" si="149"/>
        <v>34599</v>
      </c>
      <c r="J4668" s="1" t="str">
        <f>"00738427"</f>
        <v>00738427</v>
      </c>
      <c r="K4668" s="1" t="str">
        <f>"１２５９　　　　　　　　　　　　　　　　"</f>
        <v>１２５９　　　　　　　　　　　　　　　　</v>
      </c>
      <c r="L4668" s="1"/>
    </row>
    <row r="4669" spans="1:12" ht="18" customHeight="1" x14ac:dyDescent="0.15">
      <c r="A4669" s="11">
        <v>1027</v>
      </c>
      <c r="B4669" s="11" t="s">
        <v>28</v>
      </c>
      <c r="C4669" s="11" t="s">
        <v>146</v>
      </c>
      <c r="D4669" s="11">
        <v>1</v>
      </c>
      <c r="E4669" s="11" t="s">
        <v>4</v>
      </c>
      <c r="F4669" s="12">
        <v>20818</v>
      </c>
      <c r="G4669" s="12">
        <v>20818</v>
      </c>
      <c r="H4669" s="11" t="str">
        <f t="shared" si="150"/>
        <v>平成6年9月22日</v>
      </c>
      <c r="I4669" s="22">
        <f t="shared" si="149"/>
        <v>34599</v>
      </c>
      <c r="J4669" s="1" t="str">
        <f>"00738429"</f>
        <v>00738429</v>
      </c>
      <c r="K4669" s="1" t="str">
        <f>"１２６０　　　　　　　　　　　　　　　　"</f>
        <v>１２６０　　　　　　　　　　　　　　　　</v>
      </c>
      <c r="L4669" s="1"/>
    </row>
    <row r="4670" spans="1:12" ht="18" customHeight="1" x14ac:dyDescent="0.15">
      <c r="A4670" s="11">
        <v>1028</v>
      </c>
      <c r="B4670" s="11" t="s">
        <v>28</v>
      </c>
      <c r="C4670" s="11" t="s">
        <v>146</v>
      </c>
      <c r="D4670" s="11">
        <v>1</v>
      </c>
      <c r="E4670" s="11" t="s">
        <v>4</v>
      </c>
      <c r="F4670" s="12">
        <v>20818</v>
      </c>
      <c r="G4670" s="12">
        <v>20818</v>
      </c>
      <c r="H4670" s="11" t="str">
        <f t="shared" si="150"/>
        <v>平成6年9月22日</v>
      </c>
      <c r="I4670" s="22">
        <f t="shared" si="149"/>
        <v>34599</v>
      </c>
      <c r="J4670" s="1" t="str">
        <f>"00738431"</f>
        <v>00738431</v>
      </c>
      <c r="K4670" s="1" t="str">
        <f>"１２６１　　　　　　　　　　　　　　　　"</f>
        <v>１２６１　　　　　　　　　　　　　　　　</v>
      </c>
      <c r="L4670" s="1"/>
    </row>
    <row r="4671" spans="1:12" ht="18" customHeight="1" x14ac:dyDescent="0.15">
      <c r="A4671" s="11">
        <v>1029</v>
      </c>
      <c r="B4671" s="11" t="s">
        <v>28</v>
      </c>
      <c r="C4671" s="11" t="s">
        <v>146</v>
      </c>
      <c r="D4671" s="11">
        <v>1</v>
      </c>
      <c r="E4671" s="11" t="s">
        <v>4</v>
      </c>
      <c r="F4671" s="12">
        <v>20818</v>
      </c>
      <c r="G4671" s="12">
        <v>20818</v>
      </c>
      <c r="H4671" s="11" t="str">
        <f t="shared" si="150"/>
        <v>平成6年9月22日</v>
      </c>
      <c r="I4671" s="22">
        <f t="shared" si="149"/>
        <v>34599</v>
      </c>
      <c r="J4671" s="1" t="str">
        <f>"00738433"</f>
        <v>00738433</v>
      </c>
      <c r="K4671" s="1" t="str">
        <f>"１２６２　　　　　　　　　　　　　　　　"</f>
        <v>１２６２　　　　　　　　　　　　　　　　</v>
      </c>
      <c r="L4671" s="1"/>
    </row>
    <row r="4672" spans="1:12" ht="18" customHeight="1" x14ac:dyDescent="0.15">
      <c r="A4672" s="11">
        <v>1030</v>
      </c>
      <c r="B4672" s="11" t="s">
        <v>28</v>
      </c>
      <c r="C4672" s="11" t="s">
        <v>146</v>
      </c>
      <c r="D4672" s="11">
        <v>1</v>
      </c>
      <c r="E4672" s="11" t="s">
        <v>4</v>
      </c>
      <c r="F4672" s="12">
        <v>20818</v>
      </c>
      <c r="G4672" s="12">
        <v>20818</v>
      </c>
      <c r="H4672" s="11" t="str">
        <f t="shared" si="150"/>
        <v>平成6年9月22日</v>
      </c>
      <c r="I4672" s="22">
        <f t="shared" si="149"/>
        <v>34599</v>
      </c>
      <c r="J4672" s="1" t="str">
        <f>"00738435"</f>
        <v>00738435</v>
      </c>
      <c r="K4672" s="1" t="str">
        <f>"１２６３　　　　　　　　　　　　　　　　"</f>
        <v>１２６３　　　　　　　　　　　　　　　　</v>
      </c>
      <c r="L4672" s="1"/>
    </row>
    <row r="4673" spans="1:12" ht="18" customHeight="1" x14ac:dyDescent="0.15">
      <c r="A4673" s="11">
        <v>1031</v>
      </c>
      <c r="B4673" s="11" t="s">
        <v>28</v>
      </c>
      <c r="C4673" s="11" t="s">
        <v>146</v>
      </c>
      <c r="D4673" s="11">
        <v>1</v>
      </c>
      <c r="E4673" s="11" t="s">
        <v>4</v>
      </c>
      <c r="F4673" s="12">
        <v>20818</v>
      </c>
      <c r="G4673" s="12">
        <v>20818</v>
      </c>
      <c r="H4673" s="11" t="str">
        <f t="shared" si="150"/>
        <v>平成6年9月22日</v>
      </c>
      <c r="I4673" s="22">
        <f t="shared" si="149"/>
        <v>34599</v>
      </c>
      <c r="J4673" s="1" t="str">
        <f>"00738437"</f>
        <v>00738437</v>
      </c>
      <c r="K4673" s="1" t="str">
        <f>"１２６４　　　　　　　　　　　　　　　　"</f>
        <v>１２６４　　　　　　　　　　　　　　　　</v>
      </c>
      <c r="L4673" s="1"/>
    </row>
    <row r="4674" spans="1:12" ht="18" customHeight="1" x14ac:dyDescent="0.15">
      <c r="A4674" s="11">
        <v>1032</v>
      </c>
      <c r="B4674" s="11" t="s">
        <v>28</v>
      </c>
      <c r="C4674" s="11" t="s">
        <v>146</v>
      </c>
      <c r="D4674" s="11">
        <v>1</v>
      </c>
      <c r="E4674" s="11" t="s">
        <v>4</v>
      </c>
      <c r="F4674" s="12">
        <v>20818</v>
      </c>
      <c r="G4674" s="12">
        <v>20818</v>
      </c>
      <c r="H4674" s="11" t="str">
        <f t="shared" si="150"/>
        <v>平成6年9月22日</v>
      </c>
      <c r="I4674" s="22">
        <f t="shared" si="149"/>
        <v>34599</v>
      </c>
      <c r="J4674" s="1" t="str">
        <f>"00738439"</f>
        <v>00738439</v>
      </c>
      <c r="K4674" s="1" t="str">
        <f>"１２６５　　　　　　　　　　　　　　　　"</f>
        <v>１２６５　　　　　　　　　　　　　　　　</v>
      </c>
      <c r="L4674" s="1"/>
    </row>
    <row r="4675" spans="1:12" ht="18" customHeight="1" x14ac:dyDescent="0.15">
      <c r="A4675" s="11">
        <v>1033</v>
      </c>
      <c r="B4675" s="11" t="s">
        <v>28</v>
      </c>
      <c r="C4675" s="11" t="s">
        <v>146</v>
      </c>
      <c r="D4675" s="11">
        <v>1</v>
      </c>
      <c r="E4675" s="11" t="s">
        <v>4</v>
      </c>
      <c r="F4675" s="12">
        <v>20818</v>
      </c>
      <c r="G4675" s="12">
        <v>20818</v>
      </c>
      <c r="H4675" s="11" t="str">
        <f t="shared" si="150"/>
        <v>平成6年9月22日</v>
      </c>
      <c r="I4675" s="22">
        <f t="shared" si="149"/>
        <v>34599</v>
      </c>
      <c r="J4675" s="1" t="str">
        <f>"00738441"</f>
        <v>00738441</v>
      </c>
      <c r="K4675" s="1" t="str">
        <f>"１２６６　　　　　　　　　　　　　　　　"</f>
        <v>１２６６　　　　　　　　　　　　　　　　</v>
      </c>
      <c r="L4675" s="1"/>
    </row>
    <row r="4676" spans="1:12" ht="18" customHeight="1" x14ac:dyDescent="0.15">
      <c r="A4676" s="11">
        <v>1034</v>
      </c>
      <c r="B4676" s="11" t="s">
        <v>28</v>
      </c>
      <c r="C4676" s="11" t="s">
        <v>146</v>
      </c>
      <c r="D4676" s="11">
        <v>1</v>
      </c>
      <c r="E4676" s="11" t="s">
        <v>4</v>
      </c>
      <c r="F4676" s="12">
        <v>20818</v>
      </c>
      <c r="G4676" s="12">
        <v>20818</v>
      </c>
      <c r="H4676" s="11" t="str">
        <f t="shared" si="150"/>
        <v>平成6年9月22日</v>
      </c>
      <c r="I4676" s="22">
        <f t="shared" si="149"/>
        <v>34599</v>
      </c>
      <c r="J4676" s="1" t="str">
        <f>"00738443"</f>
        <v>00738443</v>
      </c>
      <c r="K4676" s="1" t="str">
        <f>"１２６７　　　　　　　　　　　　　　　　"</f>
        <v>１２６７　　　　　　　　　　　　　　　　</v>
      </c>
      <c r="L4676" s="1"/>
    </row>
    <row r="4677" spans="1:12" ht="18" customHeight="1" x14ac:dyDescent="0.15">
      <c r="A4677" s="11">
        <v>1035</v>
      </c>
      <c r="B4677" s="11" t="s">
        <v>28</v>
      </c>
      <c r="C4677" s="11" t="s">
        <v>146</v>
      </c>
      <c r="D4677" s="11">
        <v>1</v>
      </c>
      <c r="E4677" s="11" t="s">
        <v>4</v>
      </c>
      <c r="F4677" s="12">
        <v>20818</v>
      </c>
      <c r="G4677" s="12">
        <v>20818</v>
      </c>
      <c r="H4677" s="11" t="str">
        <f t="shared" si="150"/>
        <v>平成6年9月22日</v>
      </c>
      <c r="I4677" s="22">
        <f t="shared" si="149"/>
        <v>34599</v>
      </c>
      <c r="J4677" s="1" t="str">
        <f>"00738445"</f>
        <v>00738445</v>
      </c>
      <c r="K4677" s="1" t="str">
        <f>"１２６８　　　　　　　　　　　　　　　　"</f>
        <v>１２６８　　　　　　　　　　　　　　　　</v>
      </c>
      <c r="L4677" s="1"/>
    </row>
    <row r="4678" spans="1:12" ht="18" customHeight="1" x14ac:dyDescent="0.15">
      <c r="A4678" s="11">
        <v>1036</v>
      </c>
      <c r="B4678" s="11" t="s">
        <v>28</v>
      </c>
      <c r="C4678" s="11" t="s">
        <v>146</v>
      </c>
      <c r="D4678" s="11">
        <v>1</v>
      </c>
      <c r="E4678" s="11" t="s">
        <v>4</v>
      </c>
      <c r="F4678" s="12">
        <v>20818</v>
      </c>
      <c r="G4678" s="12">
        <v>20818</v>
      </c>
      <c r="H4678" s="11" t="str">
        <f t="shared" si="150"/>
        <v>平成6年9月22日</v>
      </c>
      <c r="I4678" s="22">
        <f t="shared" si="149"/>
        <v>34599</v>
      </c>
      <c r="J4678" s="1" t="str">
        <f>"00738447"</f>
        <v>00738447</v>
      </c>
      <c r="K4678" s="1" t="str">
        <f>"１２６９　　　　　　　　　　　　　　　　"</f>
        <v>１２６９　　　　　　　　　　　　　　　　</v>
      </c>
      <c r="L4678" s="1"/>
    </row>
    <row r="4679" spans="1:12" ht="18" customHeight="1" x14ac:dyDescent="0.15">
      <c r="A4679" s="11">
        <v>1037</v>
      </c>
      <c r="B4679" s="11" t="s">
        <v>28</v>
      </c>
      <c r="C4679" s="11" t="s">
        <v>146</v>
      </c>
      <c r="D4679" s="11">
        <v>1</v>
      </c>
      <c r="E4679" s="11" t="s">
        <v>4</v>
      </c>
      <c r="F4679" s="12">
        <v>20818</v>
      </c>
      <c r="G4679" s="12">
        <v>20818</v>
      </c>
      <c r="H4679" s="11" t="str">
        <f t="shared" si="150"/>
        <v>平成6年9月22日</v>
      </c>
      <c r="I4679" s="22">
        <f t="shared" si="149"/>
        <v>34599</v>
      </c>
      <c r="J4679" s="1" t="str">
        <f>"00738449"</f>
        <v>00738449</v>
      </c>
      <c r="K4679" s="1" t="str">
        <f>"１２７０　　　　　　　　　　　　　　　　"</f>
        <v>１２７０　　　　　　　　　　　　　　　　</v>
      </c>
      <c r="L4679" s="1"/>
    </row>
    <row r="4680" spans="1:12" ht="18" customHeight="1" x14ac:dyDescent="0.15">
      <c r="A4680" s="11">
        <v>1038</v>
      </c>
      <c r="B4680" s="11" t="s">
        <v>28</v>
      </c>
      <c r="C4680" s="11" t="s">
        <v>146</v>
      </c>
      <c r="D4680" s="11">
        <v>1</v>
      </c>
      <c r="E4680" s="11" t="s">
        <v>4</v>
      </c>
      <c r="F4680" s="12">
        <v>20818</v>
      </c>
      <c r="G4680" s="12">
        <v>20818</v>
      </c>
      <c r="H4680" s="11" t="str">
        <f t="shared" si="150"/>
        <v>平成6年9月22日</v>
      </c>
      <c r="I4680" s="22">
        <f t="shared" si="149"/>
        <v>34599</v>
      </c>
      <c r="J4680" s="1" t="str">
        <f>"00738451"</f>
        <v>00738451</v>
      </c>
      <c r="K4680" s="1" t="str">
        <f>"１２７１　　　　　　　　　　　　　　　　"</f>
        <v>１２７１　　　　　　　　　　　　　　　　</v>
      </c>
      <c r="L4680" s="1"/>
    </row>
    <row r="4681" spans="1:12" ht="18" customHeight="1" x14ac:dyDescent="0.15">
      <c r="A4681" s="11">
        <v>1039</v>
      </c>
      <c r="B4681" s="11" t="s">
        <v>28</v>
      </c>
      <c r="C4681" s="11" t="s">
        <v>146</v>
      </c>
      <c r="D4681" s="11">
        <v>1</v>
      </c>
      <c r="E4681" s="11" t="s">
        <v>4</v>
      </c>
      <c r="F4681" s="12">
        <v>20818</v>
      </c>
      <c r="G4681" s="12">
        <v>20818</v>
      </c>
      <c r="H4681" s="11" t="str">
        <f t="shared" si="150"/>
        <v>平成6年9月22日</v>
      </c>
      <c r="I4681" s="22">
        <f t="shared" si="149"/>
        <v>34599</v>
      </c>
      <c r="J4681" s="1" t="str">
        <f>"00738453"</f>
        <v>00738453</v>
      </c>
      <c r="K4681" s="1" t="str">
        <f>"１２７２　　　　　　　　　　　　　　　　"</f>
        <v>１２７２　　　　　　　　　　　　　　　　</v>
      </c>
      <c r="L4681" s="1"/>
    </row>
    <row r="4682" spans="1:12" ht="18" customHeight="1" x14ac:dyDescent="0.15">
      <c r="A4682" s="11">
        <v>1040</v>
      </c>
      <c r="B4682" s="11" t="s">
        <v>28</v>
      </c>
      <c r="C4682" s="11" t="s">
        <v>146</v>
      </c>
      <c r="D4682" s="11">
        <v>1</v>
      </c>
      <c r="E4682" s="11" t="s">
        <v>4</v>
      </c>
      <c r="F4682" s="12">
        <v>20818</v>
      </c>
      <c r="G4682" s="12">
        <v>20818</v>
      </c>
      <c r="H4682" s="11" t="str">
        <f t="shared" si="150"/>
        <v>平成6年9月22日</v>
      </c>
      <c r="I4682" s="22">
        <f t="shared" si="149"/>
        <v>34599</v>
      </c>
      <c r="J4682" s="1" t="str">
        <f>"00738455"</f>
        <v>00738455</v>
      </c>
      <c r="K4682" s="1" t="str">
        <f>"１２７３　　　　　　　　　　　　　　　　"</f>
        <v>１２７３　　　　　　　　　　　　　　　　</v>
      </c>
      <c r="L4682" s="1"/>
    </row>
    <row r="4683" spans="1:12" ht="18" customHeight="1" x14ac:dyDescent="0.15">
      <c r="A4683" s="11">
        <v>1041</v>
      </c>
      <c r="B4683" s="11" t="s">
        <v>28</v>
      </c>
      <c r="C4683" s="11" t="s">
        <v>146</v>
      </c>
      <c r="D4683" s="11">
        <v>1</v>
      </c>
      <c r="E4683" s="11" t="s">
        <v>4</v>
      </c>
      <c r="F4683" s="12">
        <v>20818</v>
      </c>
      <c r="G4683" s="12">
        <v>20818</v>
      </c>
      <c r="H4683" s="11" t="str">
        <f t="shared" si="150"/>
        <v>平成6年9月22日</v>
      </c>
      <c r="I4683" s="22">
        <f t="shared" si="149"/>
        <v>34599</v>
      </c>
      <c r="J4683" s="1" t="str">
        <f>"00738457"</f>
        <v>00738457</v>
      </c>
      <c r="K4683" s="1" t="str">
        <f>"１２７４　　　　　　　　　　　　　　　　"</f>
        <v>１２７４　　　　　　　　　　　　　　　　</v>
      </c>
      <c r="L4683" s="1"/>
    </row>
    <row r="4684" spans="1:12" ht="18" customHeight="1" x14ac:dyDescent="0.15">
      <c r="A4684" s="11">
        <v>1042</v>
      </c>
      <c r="B4684" s="11" t="s">
        <v>28</v>
      </c>
      <c r="C4684" s="11" t="s">
        <v>146</v>
      </c>
      <c r="D4684" s="11">
        <v>1</v>
      </c>
      <c r="E4684" s="11" t="s">
        <v>4</v>
      </c>
      <c r="F4684" s="12">
        <v>20818</v>
      </c>
      <c r="G4684" s="12">
        <v>20818</v>
      </c>
      <c r="H4684" s="11" t="str">
        <f t="shared" si="150"/>
        <v>平成6年9月22日</v>
      </c>
      <c r="I4684" s="22">
        <f t="shared" si="149"/>
        <v>34599</v>
      </c>
      <c r="J4684" s="1" t="str">
        <f>"00738459"</f>
        <v>00738459</v>
      </c>
      <c r="K4684" s="1" t="str">
        <f>"１２７５　　　　　　　　　　　　　　　　"</f>
        <v>１２７５　　　　　　　　　　　　　　　　</v>
      </c>
      <c r="L4684" s="1"/>
    </row>
    <row r="4685" spans="1:12" ht="18" customHeight="1" x14ac:dyDescent="0.15">
      <c r="A4685" s="11">
        <v>1043</v>
      </c>
      <c r="B4685" s="11" t="s">
        <v>28</v>
      </c>
      <c r="C4685" s="11" t="s">
        <v>146</v>
      </c>
      <c r="D4685" s="11">
        <v>1</v>
      </c>
      <c r="E4685" s="11" t="s">
        <v>4</v>
      </c>
      <c r="F4685" s="12">
        <v>20818</v>
      </c>
      <c r="G4685" s="12">
        <v>20818</v>
      </c>
      <c r="H4685" s="11" t="str">
        <f t="shared" si="150"/>
        <v>平成6年9月22日</v>
      </c>
      <c r="I4685" s="22">
        <f t="shared" si="149"/>
        <v>34599</v>
      </c>
      <c r="J4685" s="1" t="str">
        <f>"00738461"</f>
        <v>00738461</v>
      </c>
      <c r="K4685" s="1" t="str">
        <f>"１２７６　　　　　　　　　　　　　　　　"</f>
        <v>１２７６　　　　　　　　　　　　　　　　</v>
      </c>
      <c r="L4685" s="1"/>
    </row>
    <row r="4686" spans="1:12" ht="18" customHeight="1" x14ac:dyDescent="0.15">
      <c r="A4686" s="11">
        <v>1044</v>
      </c>
      <c r="B4686" s="11" t="s">
        <v>28</v>
      </c>
      <c r="C4686" s="11" t="s">
        <v>146</v>
      </c>
      <c r="D4686" s="11">
        <v>1</v>
      </c>
      <c r="E4686" s="11" t="s">
        <v>4</v>
      </c>
      <c r="F4686" s="12">
        <v>20818</v>
      </c>
      <c r="G4686" s="12">
        <v>20818</v>
      </c>
      <c r="H4686" s="11" t="str">
        <f t="shared" si="150"/>
        <v>平成6年9月22日</v>
      </c>
      <c r="I4686" s="22">
        <f t="shared" si="149"/>
        <v>34599</v>
      </c>
      <c r="J4686" s="1" t="str">
        <f>"00738463"</f>
        <v>00738463</v>
      </c>
      <c r="K4686" s="1" t="str">
        <f>"１２７７　　　　　　　　　　　　　　　　"</f>
        <v>１２７７　　　　　　　　　　　　　　　　</v>
      </c>
      <c r="L4686" s="1"/>
    </row>
    <row r="4687" spans="1:12" ht="18" customHeight="1" x14ac:dyDescent="0.15">
      <c r="A4687" s="11">
        <v>1045</v>
      </c>
      <c r="B4687" s="11" t="s">
        <v>28</v>
      </c>
      <c r="C4687" s="11" t="s">
        <v>146</v>
      </c>
      <c r="D4687" s="11">
        <v>1</v>
      </c>
      <c r="E4687" s="11" t="s">
        <v>4</v>
      </c>
      <c r="F4687" s="12">
        <v>20818</v>
      </c>
      <c r="G4687" s="12">
        <v>20818</v>
      </c>
      <c r="H4687" s="11" t="str">
        <f t="shared" si="150"/>
        <v>平成6年9月22日</v>
      </c>
      <c r="I4687" s="22">
        <f t="shared" si="149"/>
        <v>34599</v>
      </c>
      <c r="J4687" s="1" t="str">
        <f>"00738465"</f>
        <v>00738465</v>
      </c>
      <c r="K4687" s="1" t="str">
        <f>"１２７８　　　　　　　　　　　　　　　　"</f>
        <v>１２７８　　　　　　　　　　　　　　　　</v>
      </c>
      <c r="L4687" s="1"/>
    </row>
    <row r="4688" spans="1:12" ht="18" customHeight="1" x14ac:dyDescent="0.15">
      <c r="A4688" s="11">
        <v>1046</v>
      </c>
      <c r="B4688" s="11" t="s">
        <v>28</v>
      </c>
      <c r="C4688" s="11" t="s">
        <v>146</v>
      </c>
      <c r="D4688" s="11">
        <v>1</v>
      </c>
      <c r="E4688" s="11" t="s">
        <v>4</v>
      </c>
      <c r="F4688" s="12">
        <v>20818</v>
      </c>
      <c r="G4688" s="12">
        <v>20818</v>
      </c>
      <c r="H4688" s="11" t="str">
        <f t="shared" si="150"/>
        <v>平成6年9月22日</v>
      </c>
      <c r="I4688" s="22">
        <f t="shared" si="149"/>
        <v>34599</v>
      </c>
      <c r="J4688" s="1" t="str">
        <f>"00738467"</f>
        <v>00738467</v>
      </c>
      <c r="K4688" s="1" t="str">
        <f>"１２７９　　　　　　　　　　　　　　　　"</f>
        <v>１２７９　　　　　　　　　　　　　　　　</v>
      </c>
      <c r="L4688" s="1"/>
    </row>
    <row r="4689" spans="1:12" ht="18" customHeight="1" x14ac:dyDescent="0.15">
      <c r="A4689" s="11">
        <v>1047</v>
      </c>
      <c r="B4689" s="11" t="s">
        <v>28</v>
      </c>
      <c r="C4689" s="11" t="s">
        <v>146</v>
      </c>
      <c r="D4689" s="11">
        <v>1</v>
      </c>
      <c r="E4689" s="11" t="s">
        <v>4</v>
      </c>
      <c r="F4689" s="12">
        <v>20818</v>
      </c>
      <c r="G4689" s="12">
        <v>20818</v>
      </c>
      <c r="H4689" s="11" t="str">
        <f t="shared" si="150"/>
        <v>平成6年9月22日</v>
      </c>
      <c r="I4689" s="22">
        <f t="shared" si="149"/>
        <v>34599</v>
      </c>
      <c r="J4689" s="1" t="str">
        <f>"00738469"</f>
        <v>00738469</v>
      </c>
      <c r="K4689" s="1" t="str">
        <f>"１２８０　　　　　　　　　　　　　　　　"</f>
        <v>１２８０　　　　　　　　　　　　　　　　</v>
      </c>
      <c r="L4689" s="1"/>
    </row>
    <row r="4690" spans="1:12" ht="18" customHeight="1" x14ac:dyDescent="0.15">
      <c r="A4690" s="11">
        <v>1048</v>
      </c>
      <c r="B4690" s="11" t="s">
        <v>28</v>
      </c>
      <c r="C4690" s="11" t="s">
        <v>146</v>
      </c>
      <c r="D4690" s="11">
        <v>1</v>
      </c>
      <c r="E4690" s="11" t="s">
        <v>4</v>
      </c>
      <c r="F4690" s="12">
        <v>20818</v>
      </c>
      <c r="G4690" s="12">
        <v>20818</v>
      </c>
      <c r="H4690" s="11" t="str">
        <f t="shared" si="150"/>
        <v>平成6年9月22日</v>
      </c>
      <c r="I4690" s="22">
        <f t="shared" ref="I4690:I4753" si="151">DATEVALUE(H4690)</f>
        <v>34599</v>
      </c>
      <c r="J4690" s="1" t="str">
        <f>"00738471"</f>
        <v>00738471</v>
      </c>
      <c r="K4690" s="1" t="str">
        <f>"１２８１　　　　　　　　　　　　　　　　"</f>
        <v>１２８１　　　　　　　　　　　　　　　　</v>
      </c>
      <c r="L4690" s="1"/>
    </row>
    <row r="4691" spans="1:12" ht="18" customHeight="1" x14ac:dyDescent="0.15">
      <c r="A4691" s="11">
        <v>1049</v>
      </c>
      <c r="B4691" s="11" t="s">
        <v>28</v>
      </c>
      <c r="C4691" s="11" t="s">
        <v>146</v>
      </c>
      <c r="D4691" s="11">
        <v>1</v>
      </c>
      <c r="E4691" s="11" t="s">
        <v>4</v>
      </c>
      <c r="F4691" s="12">
        <v>20818</v>
      </c>
      <c r="G4691" s="12">
        <v>20818</v>
      </c>
      <c r="H4691" s="11" t="str">
        <f t="shared" si="150"/>
        <v>平成6年9月22日</v>
      </c>
      <c r="I4691" s="22">
        <f t="shared" si="151"/>
        <v>34599</v>
      </c>
      <c r="J4691" s="1" t="str">
        <f>"00738473"</f>
        <v>00738473</v>
      </c>
      <c r="K4691" s="1" t="str">
        <f>"１２８２　　　　　　　　　　　　　　　　"</f>
        <v>１２８２　　　　　　　　　　　　　　　　</v>
      </c>
      <c r="L4691" s="1"/>
    </row>
    <row r="4692" spans="1:12" ht="18" customHeight="1" x14ac:dyDescent="0.15">
      <c r="A4692" s="11">
        <v>1050</v>
      </c>
      <c r="B4692" s="11" t="s">
        <v>28</v>
      </c>
      <c r="C4692" s="11" t="s">
        <v>146</v>
      </c>
      <c r="D4692" s="11">
        <v>1</v>
      </c>
      <c r="E4692" s="11" t="s">
        <v>4</v>
      </c>
      <c r="F4692" s="12">
        <v>20818</v>
      </c>
      <c r="G4692" s="12">
        <v>20818</v>
      </c>
      <c r="H4692" s="11" t="str">
        <f t="shared" si="150"/>
        <v>平成6年9月22日</v>
      </c>
      <c r="I4692" s="22">
        <f t="shared" si="151"/>
        <v>34599</v>
      </c>
      <c r="J4692" s="1" t="str">
        <f>"00738475"</f>
        <v>00738475</v>
      </c>
      <c r="K4692" s="1" t="str">
        <f>"１２８３　　　　　　　　　　　　　　　　"</f>
        <v>１２８３　　　　　　　　　　　　　　　　</v>
      </c>
      <c r="L4692" s="1"/>
    </row>
    <row r="4693" spans="1:12" ht="18" customHeight="1" x14ac:dyDescent="0.15">
      <c r="A4693" s="11">
        <v>1051</v>
      </c>
      <c r="B4693" s="11" t="s">
        <v>28</v>
      </c>
      <c r="C4693" s="11" t="s">
        <v>146</v>
      </c>
      <c r="D4693" s="11">
        <v>1</v>
      </c>
      <c r="E4693" s="11" t="s">
        <v>4</v>
      </c>
      <c r="F4693" s="12">
        <v>20818</v>
      </c>
      <c r="G4693" s="12">
        <v>20818</v>
      </c>
      <c r="H4693" s="11" t="str">
        <f t="shared" si="150"/>
        <v>平成6年9月22日</v>
      </c>
      <c r="I4693" s="22">
        <f t="shared" si="151"/>
        <v>34599</v>
      </c>
      <c r="J4693" s="1" t="str">
        <f>"00738477"</f>
        <v>00738477</v>
      </c>
      <c r="K4693" s="1" t="str">
        <f>"１２８４　　　　　　　　　　　　　　　　"</f>
        <v>１２８４　　　　　　　　　　　　　　　　</v>
      </c>
      <c r="L4693" s="1"/>
    </row>
    <row r="4694" spans="1:12" ht="18" customHeight="1" x14ac:dyDescent="0.15">
      <c r="A4694" s="11">
        <v>1052</v>
      </c>
      <c r="B4694" s="11" t="s">
        <v>28</v>
      </c>
      <c r="C4694" s="11" t="s">
        <v>146</v>
      </c>
      <c r="D4694" s="11">
        <v>1</v>
      </c>
      <c r="E4694" s="11" t="s">
        <v>4</v>
      </c>
      <c r="F4694" s="12">
        <v>20818</v>
      </c>
      <c r="G4694" s="12">
        <v>20818</v>
      </c>
      <c r="H4694" s="11" t="str">
        <f t="shared" si="150"/>
        <v>平成6年9月22日</v>
      </c>
      <c r="I4694" s="22">
        <f t="shared" si="151"/>
        <v>34599</v>
      </c>
      <c r="J4694" s="1" t="str">
        <f>"00738479"</f>
        <v>00738479</v>
      </c>
      <c r="K4694" s="1" t="str">
        <f>"１２８５　　　　　　　　　　　　　　　　"</f>
        <v>１２８５　　　　　　　　　　　　　　　　</v>
      </c>
      <c r="L4694" s="1"/>
    </row>
    <row r="4695" spans="1:12" ht="18" customHeight="1" x14ac:dyDescent="0.15">
      <c r="A4695" s="11">
        <v>1053</v>
      </c>
      <c r="B4695" s="11" t="s">
        <v>28</v>
      </c>
      <c r="C4695" s="11" t="s">
        <v>146</v>
      </c>
      <c r="D4695" s="11">
        <v>1</v>
      </c>
      <c r="E4695" s="11" t="s">
        <v>4</v>
      </c>
      <c r="F4695" s="12">
        <v>20818</v>
      </c>
      <c r="G4695" s="12">
        <v>20818</v>
      </c>
      <c r="H4695" s="11" t="str">
        <f t="shared" si="150"/>
        <v>平成6年9月22日</v>
      </c>
      <c r="I4695" s="22">
        <f t="shared" si="151"/>
        <v>34599</v>
      </c>
      <c r="J4695" s="1" t="str">
        <f>"00738481"</f>
        <v>00738481</v>
      </c>
      <c r="K4695" s="1" t="str">
        <f>"１２８６　　　　　　　　　　　　　　　　"</f>
        <v>１２８６　　　　　　　　　　　　　　　　</v>
      </c>
      <c r="L4695" s="1"/>
    </row>
    <row r="4696" spans="1:12" ht="18" customHeight="1" x14ac:dyDescent="0.15">
      <c r="A4696" s="11">
        <v>1054</v>
      </c>
      <c r="B4696" s="11" t="s">
        <v>28</v>
      </c>
      <c r="C4696" s="11" t="s">
        <v>146</v>
      </c>
      <c r="D4696" s="11">
        <v>1</v>
      </c>
      <c r="E4696" s="11" t="s">
        <v>4</v>
      </c>
      <c r="F4696" s="12">
        <v>20818</v>
      </c>
      <c r="G4696" s="12">
        <v>20818</v>
      </c>
      <c r="H4696" s="11" t="str">
        <f t="shared" si="150"/>
        <v>平成6年9月22日</v>
      </c>
      <c r="I4696" s="22">
        <f t="shared" si="151"/>
        <v>34599</v>
      </c>
      <c r="J4696" s="1" t="str">
        <f>"00738483"</f>
        <v>00738483</v>
      </c>
      <c r="K4696" s="1" t="str">
        <f>"１２８７　　　　　　　　　　　　　　　　"</f>
        <v>１２８７　　　　　　　　　　　　　　　　</v>
      </c>
      <c r="L4696" s="1"/>
    </row>
    <row r="4697" spans="1:12" ht="18" customHeight="1" x14ac:dyDescent="0.15">
      <c r="A4697" s="11">
        <v>1055</v>
      </c>
      <c r="B4697" s="11" t="s">
        <v>28</v>
      </c>
      <c r="C4697" s="11" t="s">
        <v>146</v>
      </c>
      <c r="D4697" s="11">
        <v>1</v>
      </c>
      <c r="E4697" s="11" t="s">
        <v>4</v>
      </c>
      <c r="F4697" s="12">
        <v>20818</v>
      </c>
      <c r="G4697" s="12">
        <v>20818</v>
      </c>
      <c r="H4697" s="11" t="str">
        <f t="shared" si="150"/>
        <v>平成6年9月22日</v>
      </c>
      <c r="I4697" s="22">
        <f t="shared" si="151"/>
        <v>34599</v>
      </c>
      <c r="J4697" s="1" t="str">
        <f>"00738485"</f>
        <v>00738485</v>
      </c>
      <c r="K4697" s="1" t="str">
        <f>"１２８８　　　　　　　　　　　　　　　　"</f>
        <v>１２８８　　　　　　　　　　　　　　　　</v>
      </c>
      <c r="L4697" s="1"/>
    </row>
    <row r="4698" spans="1:12" ht="18" customHeight="1" x14ac:dyDescent="0.15">
      <c r="A4698" s="11">
        <v>1056</v>
      </c>
      <c r="B4698" s="11" t="s">
        <v>28</v>
      </c>
      <c r="C4698" s="11" t="s">
        <v>146</v>
      </c>
      <c r="D4698" s="11">
        <v>1</v>
      </c>
      <c r="E4698" s="11" t="s">
        <v>4</v>
      </c>
      <c r="F4698" s="12">
        <v>20818</v>
      </c>
      <c r="G4698" s="12">
        <v>20818</v>
      </c>
      <c r="H4698" s="11" t="str">
        <f t="shared" si="150"/>
        <v>平成6年9月22日</v>
      </c>
      <c r="I4698" s="22">
        <f t="shared" si="151"/>
        <v>34599</v>
      </c>
      <c r="J4698" s="1" t="str">
        <f>"00738487"</f>
        <v>00738487</v>
      </c>
      <c r="K4698" s="1" t="str">
        <f>"１２８９　　　　　　　　　　　　　　　　"</f>
        <v>１２８９　　　　　　　　　　　　　　　　</v>
      </c>
      <c r="L4698" s="1"/>
    </row>
    <row r="4699" spans="1:12" ht="18" customHeight="1" x14ac:dyDescent="0.15">
      <c r="A4699" s="11">
        <v>1057</v>
      </c>
      <c r="B4699" s="11" t="s">
        <v>28</v>
      </c>
      <c r="C4699" s="11" t="s">
        <v>146</v>
      </c>
      <c r="D4699" s="11">
        <v>1</v>
      </c>
      <c r="E4699" s="11" t="s">
        <v>4</v>
      </c>
      <c r="F4699" s="12">
        <v>20818</v>
      </c>
      <c r="G4699" s="12">
        <v>20818</v>
      </c>
      <c r="H4699" s="11" t="str">
        <f t="shared" si="150"/>
        <v>平成6年9月22日</v>
      </c>
      <c r="I4699" s="22">
        <f t="shared" si="151"/>
        <v>34599</v>
      </c>
      <c r="J4699" s="1" t="str">
        <f>"00738489"</f>
        <v>00738489</v>
      </c>
      <c r="K4699" s="1" t="str">
        <f>"１２９０　　　　　　　　　　　　　　　　"</f>
        <v>１２９０　　　　　　　　　　　　　　　　</v>
      </c>
      <c r="L4699" s="1"/>
    </row>
    <row r="4700" spans="1:12" ht="18" customHeight="1" x14ac:dyDescent="0.15">
      <c r="A4700" s="11">
        <v>1058</v>
      </c>
      <c r="B4700" s="11" t="s">
        <v>28</v>
      </c>
      <c r="C4700" s="11" t="s">
        <v>146</v>
      </c>
      <c r="D4700" s="11">
        <v>1</v>
      </c>
      <c r="E4700" s="11" t="s">
        <v>4</v>
      </c>
      <c r="F4700" s="12">
        <v>20818</v>
      </c>
      <c r="G4700" s="12">
        <v>20818</v>
      </c>
      <c r="H4700" s="11" t="str">
        <f t="shared" si="150"/>
        <v>平成6年9月22日</v>
      </c>
      <c r="I4700" s="22">
        <f t="shared" si="151"/>
        <v>34599</v>
      </c>
      <c r="J4700" s="1" t="str">
        <f>"00738491"</f>
        <v>00738491</v>
      </c>
      <c r="K4700" s="1" t="str">
        <f>"１２９１　　　　　　　　　　　　　　　　"</f>
        <v>１２９１　　　　　　　　　　　　　　　　</v>
      </c>
      <c r="L4700" s="1"/>
    </row>
    <row r="4701" spans="1:12" ht="18" customHeight="1" x14ac:dyDescent="0.15">
      <c r="A4701" s="11">
        <v>1059</v>
      </c>
      <c r="B4701" s="11" t="s">
        <v>28</v>
      </c>
      <c r="C4701" s="11" t="s">
        <v>146</v>
      </c>
      <c r="D4701" s="11">
        <v>1</v>
      </c>
      <c r="E4701" s="11" t="s">
        <v>4</v>
      </c>
      <c r="F4701" s="12">
        <v>20818</v>
      </c>
      <c r="G4701" s="12">
        <v>20818</v>
      </c>
      <c r="H4701" s="11" t="str">
        <f t="shared" si="150"/>
        <v>平成6年9月22日</v>
      </c>
      <c r="I4701" s="22">
        <f t="shared" si="151"/>
        <v>34599</v>
      </c>
      <c r="J4701" s="1" t="str">
        <f>"00738493"</f>
        <v>00738493</v>
      </c>
      <c r="K4701" s="1" t="str">
        <f>"１２９２　　　　　　　　　　　　　　　　"</f>
        <v>１２９２　　　　　　　　　　　　　　　　</v>
      </c>
      <c r="L4701" s="1"/>
    </row>
    <row r="4702" spans="1:12" ht="18" customHeight="1" x14ac:dyDescent="0.15">
      <c r="A4702" s="11">
        <v>1060</v>
      </c>
      <c r="B4702" s="11" t="s">
        <v>28</v>
      </c>
      <c r="C4702" s="11" t="s">
        <v>146</v>
      </c>
      <c r="D4702" s="11">
        <v>1</v>
      </c>
      <c r="E4702" s="11" t="s">
        <v>4</v>
      </c>
      <c r="F4702" s="12">
        <v>20818</v>
      </c>
      <c r="G4702" s="12">
        <v>20818</v>
      </c>
      <c r="H4702" s="11" t="str">
        <f t="shared" si="150"/>
        <v>平成6年9月22日</v>
      </c>
      <c r="I4702" s="22">
        <f t="shared" si="151"/>
        <v>34599</v>
      </c>
      <c r="J4702" s="1" t="str">
        <f>"00738495"</f>
        <v>00738495</v>
      </c>
      <c r="K4702" s="1" t="str">
        <f>"１２９３　　　　　　　　　　　　　　　　"</f>
        <v>１２９３　　　　　　　　　　　　　　　　</v>
      </c>
      <c r="L4702" s="1"/>
    </row>
    <row r="4703" spans="1:12" ht="18" customHeight="1" x14ac:dyDescent="0.15">
      <c r="A4703" s="11">
        <v>1061</v>
      </c>
      <c r="B4703" s="11" t="s">
        <v>28</v>
      </c>
      <c r="C4703" s="11" t="s">
        <v>146</v>
      </c>
      <c r="D4703" s="11">
        <v>1</v>
      </c>
      <c r="E4703" s="11" t="s">
        <v>4</v>
      </c>
      <c r="F4703" s="12">
        <v>20818</v>
      </c>
      <c r="G4703" s="12">
        <v>20818</v>
      </c>
      <c r="H4703" s="11" t="str">
        <f t="shared" si="150"/>
        <v>平成6年9月22日</v>
      </c>
      <c r="I4703" s="22">
        <f t="shared" si="151"/>
        <v>34599</v>
      </c>
      <c r="J4703" s="1" t="str">
        <f>"00738497"</f>
        <v>00738497</v>
      </c>
      <c r="K4703" s="1" t="str">
        <f>"１２９４　　　　　　　　　　　　　　　　"</f>
        <v>１２９４　　　　　　　　　　　　　　　　</v>
      </c>
      <c r="L4703" s="1"/>
    </row>
    <row r="4704" spans="1:12" ht="18" customHeight="1" x14ac:dyDescent="0.15">
      <c r="A4704" s="11">
        <v>1062</v>
      </c>
      <c r="B4704" s="11" t="s">
        <v>28</v>
      </c>
      <c r="C4704" s="11" t="s">
        <v>146</v>
      </c>
      <c r="D4704" s="11">
        <v>1</v>
      </c>
      <c r="E4704" s="11" t="s">
        <v>4</v>
      </c>
      <c r="F4704" s="12">
        <v>20818</v>
      </c>
      <c r="G4704" s="12">
        <v>20818</v>
      </c>
      <c r="H4704" s="11" t="str">
        <f t="shared" si="150"/>
        <v>平成6年9月22日</v>
      </c>
      <c r="I4704" s="22">
        <f t="shared" si="151"/>
        <v>34599</v>
      </c>
      <c r="J4704" s="1" t="str">
        <f>"00738499"</f>
        <v>00738499</v>
      </c>
      <c r="K4704" s="1" t="str">
        <f>"１２９５　　　　　　　　　　　　　　　　"</f>
        <v>１２９５　　　　　　　　　　　　　　　　</v>
      </c>
      <c r="L4704" s="1"/>
    </row>
    <row r="4705" spans="1:12" ht="18" customHeight="1" x14ac:dyDescent="0.15">
      <c r="A4705" s="11">
        <v>1063</v>
      </c>
      <c r="B4705" s="11" t="s">
        <v>28</v>
      </c>
      <c r="C4705" s="11" t="s">
        <v>146</v>
      </c>
      <c r="D4705" s="11">
        <v>1</v>
      </c>
      <c r="E4705" s="11" t="s">
        <v>4</v>
      </c>
      <c r="F4705" s="12">
        <v>20818</v>
      </c>
      <c r="G4705" s="12">
        <v>20818</v>
      </c>
      <c r="H4705" s="11" t="str">
        <f t="shared" ref="H4705:H4737" si="152">"平成6年9月22日"</f>
        <v>平成6年9月22日</v>
      </c>
      <c r="I4705" s="22">
        <f t="shared" si="151"/>
        <v>34599</v>
      </c>
      <c r="J4705" s="1" t="str">
        <f>"00738501"</f>
        <v>00738501</v>
      </c>
      <c r="K4705" s="1" t="str">
        <f>"１２９６　　　　　　　　　　　　　　　　"</f>
        <v>１２９６　　　　　　　　　　　　　　　　</v>
      </c>
      <c r="L4705" s="1"/>
    </row>
    <row r="4706" spans="1:12" ht="18" customHeight="1" x14ac:dyDescent="0.15">
      <c r="A4706" s="11">
        <v>1064</v>
      </c>
      <c r="B4706" s="11" t="s">
        <v>28</v>
      </c>
      <c r="C4706" s="11" t="s">
        <v>146</v>
      </c>
      <c r="D4706" s="11">
        <v>1</v>
      </c>
      <c r="E4706" s="11" t="s">
        <v>4</v>
      </c>
      <c r="F4706" s="12">
        <v>20818</v>
      </c>
      <c r="G4706" s="12">
        <v>20818</v>
      </c>
      <c r="H4706" s="11" t="str">
        <f t="shared" si="152"/>
        <v>平成6年9月22日</v>
      </c>
      <c r="I4706" s="22">
        <f t="shared" si="151"/>
        <v>34599</v>
      </c>
      <c r="J4706" s="1" t="str">
        <f>"00738503"</f>
        <v>00738503</v>
      </c>
      <c r="K4706" s="1" t="str">
        <f>"１２９７　　　　　　　　　　　　　　　　"</f>
        <v>１２９７　　　　　　　　　　　　　　　　</v>
      </c>
      <c r="L4706" s="1"/>
    </row>
    <row r="4707" spans="1:12" ht="18" customHeight="1" x14ac:dyDescent="0.15">
      <c r="A4707" s="11">
        <v>1065</v>
      </c>
      <c r="B4707" s="11" t="s">
        <v>28</v>
      </c>
      <c r="C4707" s="11" t="s">
        <v>146</v>
      </c>
      <c r="D4707" s="11">
        <v>1</v>
      </c>
      <c r="E4707" s="11" t="s">
        <v>4</v>
      </c>
      <c r="F4707" s="12">
        <v>20818</v>
      </c>
      <c r="G4707" s="12">
        <v>20818</v>
      </c>
      <c r="H4707" s="11" t="str">
        <f t="shared" si="152"/>
        <v>平成6年9月22日</v>
      </c>
      <c r="I4707" s="22">
        <f t="shared" si="151"/>
        <v>34599</v>
      </c>
      <c r="J4707" s="1" t="str">
        <f>"00738505"</f>
        <v>00738505</v>
      </c>
      <c r="K4707" s="1" t="str">
        <f>"１２９８　　　　　　　　　　　　　　　　"</f>
        <v>１２９８　　　　　　　　　　　　　　　　</v>
      </c>
      <c r="L4707" s="1"/>
    </row>
    <row r="4708" spans="1:12" ht="18" customHeight="1" x14ac:dyDescent="0.15">
      <c r="A4708" s="11">
        <v>1066</v>
      </c>
      <c r="B4708" s="11" t="s">
        <v>28</v>
      </c>
      <c r="C4708" s="11" t="s">
        <v>146</v>
      </c>
      <c r="D4708" s="11">
        <v>1</v>
      </c>
      <c r="E4708" s="11" t="s">
        <v>4</v>
      </c>
      <c r="F4708" s="12">
        <v>20818</v>
      </c>
      <c r="G4708" s="12">
        <v>20818</v>
      </c>
      <c r="H4708" s="11" t="str">
        <f t="shared" si="152"/>
        <v>平成6年9月22日</v>
      </c>
      <c r="I4708" s="22">
        <f t="shared" si="151"/>
        <v>34599</v>
      </c>
      <c r="J4708" s="1" t="str">
        <f>"00738507"</f>
        <v>00738507</v>
      </c>
      <c r="K4708" s="1" t="str">
        <f>"１２９９　　　　　　　　　　　　　　　　"</f>
        <v>１２９９　　　　　　　　　　　　　　　　</v>
      </c>
      <c r="L4708" s="1"/>
    </row>
    <row r="4709" spans="1:12" ht="18" customHeight="1" x14ac:dyDescent="0.15">
      <c r="A4709" s="11">
        <v>1067</v>
      </c>
      <c r="B4709" s="11" t="s">
        <v>28</v>
      </c>
      <c r="C4709" s="11" t="s">
        <v>146</v>
      </c>
      <c r="D4709" s="11">
        <v>1</v>
      </c>
      <c r="E4709" s="11" t="s">
        <v>4</v>
      </c>
      <c r="F4709" s="12">
        <v>20818</v>
      </c>
      <c r="G4709" s="12">
        <v>20818</v>
      </c>
      <c r="H4709" s="11" t="str">
        <f t="shared" si="152"/>
        <v>平成6年9月22日</v>
      </c>
      <c r="I4709" s="22">
        <f t="shared" si="151"/>
        <v>34599</v>
      </c>
      <c r="J4709" s="1" t="str">
        <f>"00738509"</f>
        <v>00738509</v>
      </c>
      <c r="K4709" s="1" t="str">
        <f>"１３００　　　　　　　　　　　　　　　　"</f>
        <v>１３００　　　　　　　　　　　　　　　　</v>
      </c>
      <c r="L4709" s="1"/>
    </row>
    <row r="4710" spans="1:12" ht="18" customHeight="1" x14ac:dyDescent="0.15">
      <c r="A4710" s="11">
        <v>1068</v>
      </c>
      <c r="B4710" s="11" t="s">
        <v>28</v>
      </c>
      <c r="C4710" s="11" t="s">
        <v>146</v>
      </c>
      <c r="D4710" s="11">
        <v>1</v>
      </c>
      <c r="E4710" s="11" t="s">
        <v>4</v>
      </c>
      <c r="F4710" s="12">
        <v>20818</v>
      </c>
      <c r="G4710" s="12">
        <v>20818</v>
      </c>
      <c r="H4710" s="11" t="str">
        <f t="shared" si="152"/>
        <v>平成6年9月22日</v>
      </c>
      <c r="I4710" s="22">
        <f t="shared" si="151"/>
        <v>34599</v>
      </c>
      <c r="J4710" s="1" t="str">
        <f>"00738511"</f>
        <v>00738511</v>
      </c>
      <c r="K4710" s="1" t="str">
        <f>"１３０１　　　　　　　　　　　　　　　　"</f>
        <v>１３０１　　　　　　　　　　　　　　　　</v>
      </c>
      <c r="L4710" s="1"/>
    </row>
    <row r="4711" spans="1:12" ht="18" customHeight="1" x14ac:dyDescent="0.15">
      <c r="A4711" s="11">
        <v>1069</v>
      </c>
      <c r="B4711" s="11" t="s">
        <v>28</v>
      </c>
      <c r="C4711" s="11" t="s">
        <v>146</v>
      </c>
      <c r="D4711" s="11">
        <v>1</v>
      </c>
      <c r="E4711" s="11" t="s">
        <v>4</v>
      </c>
      <c r="F4711" s="12">
        <v>20818</v>
      </c>
      <c r="G4711" s="12">
        <v>20818</v>
      </c>
      <c r="H4711" s="11" t="str">
        <f t="shared" si="152"/>
        <v>平成6年9月22日</v>
      </c>
      <c r="I4711" s="22">
        <f t="shared" si="151"/>
        <v>34599</v>
      </c>
      <c r="J4711" s="1" t="str">
        <f>"00738513"</f>
        <v>00738513</v>
      </c>
      <c r="K4711" s="1" t="str">
        <f>"１３０２　　　　　　　　　　　　　　　　"</f>
        <v>１３０２　　　　　　　　　　　　　　　　</v>
      </c>
      <c r="L4711" s="1"/>
    </row>
    <row r="4712" spans="1:12" ht="18" customHeight="1" x14ac:dyDescent="0.15">
      <c r="A4712" s="11">
        <v>1070</v>
      </c>
      <c r="B4712" s="11" t="s">
        <v>28</v>
      </c>
      <c r="C4712" s="11" t="s">
        <v>146</v>
      </c>
      <c r="D4712" s="11">
        <v>1</v>
      </c>
      <c r="E4712" s="11" t="s">
        <v>4</v>
      </c>
      <c r="F4712" s="12">
        <v>20818</v>
      </c>
      <c r="G4712" s="12">
        <v>20818</v>
      </c>
      <c r="H4712" s="11" t="str">
        <f t="shared" si="152"/>
        <v>平成6年9月22日</v>
      </c>
      <c r="I4712" s="22">
        <f t="shared" si="151"/>
        <v>34599</v>
      </c>
      <c r="J4712" s="1" t="str">
        <f>"00738515"</f>
        <v>00738515</v>
      </c>
      <c r="K4712" s="1" t="str">
        <f>"１３０３　　　　　　　　　　　　　　　　"</f>
        <v>１３０３　　　　　　　　　　　　　　　　</v>
      </c>
      <c r="L4712" s="1"/>
    </row>
    <row r="4713" spans="1:12" ht="18" customHeight="1" x14ac:dyDescent="0.15">
      <c r="A4713" s="11">
        <v>1071</v>
      </c>
      <c r="B4713" s="11" t="s">
        <v>28</v>
      </c>
      <c r="C4713" s="11" t="s">
        <v>146</v>
      </c>
      <c r="D4713" s="11">
        <v>1</v>
      </c>
      <c r="E4713" s="11" t="s">
        <v>4</v>
      </c>
      <c r="F4713" s="12">
        <v>20818</v>
      </c>
      <c r="G4713" s="12">
        <v>20818</v>
      </c>
      <c r="H4713" s="11" t="str">
        <f t="shared" si="152"/>
        <v>平成6年9月22日</v>
      </c>
      <c r="I4713" s="22">
        <f t="shared" si="151"/>
        <v>34599</v>
      </c>
      <c r="J4713" s="1" t="str">
        <f>"00738517"</f>
        <v>00738517</v>
      </c>
      <c r="K4713" s="1" t="str">
        <f>"１３０４　　　　　　　　　　　　　　　　"</f>
        <v>１３０４　　　　　　　　　　　　　　　　</v>
      </c>
      <c r="L4713" s="1"/>
    </row>
    <row r="4714" spans="1:12" ht="18" customHeight="1" x14ac:dyDescent="0.15">
      <c r="A4714" s="11">
        <v>1072</v>
      </c>
      <c r="B4714" s="11" t="s">
        <v>28</v>
      </c>
      <c r="C4714" s="11" t="s">
        <v>146</v>
      </c>
      <c r="D4714" s="11">
        <v>1</v>
      </c>
      <c r="E4714" s="11" t="s">
        <v>4</v>
      </c>
      <c r="F4714" s="12">
        <v>20818</v>
      </c>
      <c r="G4714" s="12">
        <v>20818</v>
      </c>
      <c r="H4714" s="11" t="str">
        <f t="shared" si="152"/>
        <v>平成6年9月22日</v>
      </c>
      <c r="I4714" s="22">
        <f t="shared" si="151"/>
        <v>34599</v>
      </c>
      <c r="J4714" s="1" t="str">
        <f>"00738519"</f>
        <v>00738519</v>
      </c>
      <c r="K4714" s="1" t="str">
        <f>"１３０５　　　　　　　　　　　　　　　　"</f>
        <v>１３０５　　　　　　　　　　　　　　　　</v>
      </c>
      <c r="L4714" s="1"/>
    </row>
    <row r="4715" spans="1:12" ht="18" customHeight="1" x14ac:dyDescent="0.15">
      <c r="A4715" s="11">
        <v>1073</v>
      </c>
      <c r="B4715" s="11" t="s">
        <v>28</v>
      </c>
      <c r="C4715" s="11" t="s">
        <v>146</v>
      </c>
      <c r="D4715" s="11">
        <v>1</v>
      </c>
      <c r="E4715" s="11" t="s">
        <v>4</v>
      </c>
      <c r="F4715" s="12">
        <v>20818</v>
      </c>
      <c r="G4715" s="12">
        <v>20818</v>
      </c>
      <c r="H4715" s="11" t="str">
        <f t="shared" si="152"/>
        <v>平成6年9月22日</v>
      </c>
      <c r="I4715" s="22">
        <f t="shared" si="151"/>
        <v>34599</v>
      </c>
      <c r="J4715" s="1" t="str">
        <f>"00738521"</f>
        <v>00738521</v>
      </c>
      <c r="K4715" s="1" t="str">
        <f>"１３０６　　　　　　　　　　　　　　　　"</f>
        <v>１３０６　　　　　　　　　　　　　　　　</v>
      </c>
      <c r="L4715" s="1"/>
    </row>
    <row r="4716" spans="1:12" ht="18" customHeight="1" x14ac:dyDescent="0.15">
      <c r="A4716" s="11">
        <v>1074</v>
      </c>
      <c r="B4716" s="11" t="s">
        <v>28</v>
      </c>
      <c r="C4716" s="11" t="s">
        <v>146</v>
      </c>
      <c r="D4716" s="11">
        <v>1</v>
      </c>
      <c r="E4716" s="11" t="s">
        <v>4</v>
      </c>
      <c r="F4716" s="12">
        <v>20818</v>
      </c>
      <c r="G4716" s="12">
        <v>20818</v>
      </c>
      <c r="H4716" s="11" t="str">
        <f t="shared" si="152"/>
        <v>平成6年9月22日</v>
      </c>
      <c r="I4716" s="22">
        <f t="shared" si="151"/>
        <v>34599</v>
      </c>
      <c r="J4716" s="1" t="str">
        <f>"00738523"</f>
        <v>00738523</v>
      </c>
      <c r="K4716" s="1" t="str">
        <f>"１３０７　　　　　　　　　　　　　　　　"</f>
        <v>１３０７　　　　　　　　　　　　　　　　</v>
      </c>
      <c r="L4716" s="1"/>
    </row>
    <row r="4717" spans="1:12" ht="18" customHeight="1" x14ac:dyDescent="0.15">
      <c r="A4717" s="11">
        <v>1075</v>
      </c>
      <c r="B4717" s="11" t="s">
        <v>28</v>
      </c>
      <c r="C4717" s="11" t="s">
        <v>146</v>
      </c>
      <c r="D4717" s="11">
        <v>1</v>
      </c>
      <c r="E4717" s="11" t="s">
        <v>4</v>
      </c>
      <c r="F4717" s="12">
        <v>20818</v>
      </c>
      <c r="G4717" s="12">
        <v>20818</v>
      </c>
      <c r="H4717" s="11" t="str">
        <f t="shared" si="152"/>
        <v>平成6年9月22日</v>
      </c>
      <c r="I4717" s="22">
        <f t="shared" si="151"/>
        <v>34599</v>
      </c>
      <c r="J4717" s="1" t="str">
        <f>"00738525"</f>
        <v>00738525</v>
      </c>
      <c r="K4717" s="1" t="str">
        <f>"１３０８　　　　　　　　　　　　　　　　"</f>
        <v>１３０８　　　　　　　　　　　　　　　　</v>
      </c>
      <c r="L4717" s="1"/>
    </row>
    <row r="4718" spans="1:12" ht="18" customHeight="1" x14ac:dyDescent="0.15">
      <c r="A4718" s="11">
        <v>1076</v>
      </c>
      <c r="B4718" s="11" t="s">
        <v>28</v>
      </c>
      <c r="C4718" s="11" t="s">
        <v>146</v>
      </c>
      <c r="D4718" s="11">
        <v>1</v>
      </c>
      <c r="E4718" s="11" t="s">
        <v>4</v>
      </c>
      <c r="F4718" s="12">
        <v>20818</v>
      </c>
      <c r="G4718" s="12">
        <v>20818</v>
      </c>
      <c r="H4718" s="11" t="str">
        <f t="shared" si="152"/>
        <v>平成6年9月22日</v>
      </c>
      <c r="I4718" s="22">
        <f t="shared" si="151"/>
        <v>34599</v>
      </c>
      <c r="J4718" s="1" t="str">
        <f>"00738527"</f>
        <v>00738527</v>
      </c>
      <c r="K4718" s="1" t="str">
        <f>"１３０９　　　　　　　　　　　　　　　　"</f>
        <v>１３０９　　　　　　　　　　　　　　　　</v>
      </c>
      <c r="L4718" s="1"/>
    </row>
    <row r="4719" spans="1:12" ht="18" customHeight="1" x14ac:dyDescent="0.15">
      <c r="A4719" s="11">
        <v>1077</v>
      </c>
      <c r="B4719" s="11" t="s">
        <v>28</v>
      </c>
      <c r="C4719" s="11" t="s">
        <v>146</v>
      </c>
      <c r="D4719" s="11">
        <v>1</v>
      </c>
      <c r="E4719" s="11" t="s">
        <v>4</v>
      </c>
      <c r="F4719" s="12">
        <v>20818</v>
      </c>
      <c r="G4719" s="12">
        <v>20818</v>
      </c>
      <c r="H4719" s="11" t="str">
        <f t="shared" si="152"/>
        <v>平成6年9月22日</v>
      </c>
      <c r="I4719" s="22">
        <f t="shared" si="151"/>
        <v>34599</v>
      </c>
      <c r="J4719" s="1" t="str">
        <f>"00738529"</f>
        <v>00738529</v>
      </c>
      <c r="K4719" s="1" t="str">
        <f>"１３１０　　　　　　　　　　　　　　　　"</f>
        <v>１３１０　　　　　　　　　　　　　　　　</v>
      </c>
      <c r="L4719" s="1"/>
    </row>
    <row r="4720" spans="1:12" ht="18" customHeight="1" x14ac:dyDescent="0.15">
      <c r="A4720" s="11">
        <v>1078</v>
      </c>
      <c r="B4720" s="11" t="s">
        <v>28</v>
      </c>
      <c r="C4720" s="11" t="s">
        <v>146</v>
      </c>
      <c r="D4720" s="11">
        <v>1</v>
      </c>
      <c r="E4720" s="11" t="s">
        <v>4</v>
      </c>
      <c r="F4720" s="12">
        <v>20818</v>
      </c>
      <c r="G4720" s="12">
        <v>20818</v>
      </c>
      <c r="H4720" s="11" t="str">
        <f t="shared" si="152"/>
        <v>平成6年9月22日</v>
      </c>
      <c r="I4720" s="22">
        <f t="shared" si="151"/>
        <v>34599</v>
      </c>
      <c r="J4720" s="1" t="str">
        <f>"00738530"</f>
        <v>00738530</v>
      </c>
      <c r="K4720" s="1" t="str">
        <f>"１３１１　　　　　　　　　　　　　　　　"</f>
        <v>１３１１　　　　　　　　　　　　　　　　</v>
      </c>
      <c r="L4720" s="1"/>
    </row>
    <row r="4721" spans="1:12" ht="18" customHeight="1" x14ac:dyDescent="0.15">
      <c r="A4721" s="11">
        <v>1079</v>
      </c>
      <c r="B4721" s="11" t="s">
        <v>28</v>
      </c>
      <c r="C4721" s="11" t="s">
        <v>146</v>
      </c>
      <c r="D4721" s="11">
        <v>1</v>
      </c>
      <c r="E4721" s="11" t="s">
        <v>4</v>
      </c>
      <c r="F4721" s="12">
        <v>20818</v>
      </c>
      <c r="G4721" s="12">
        <v>20818</v>
      </c>
      <c r="H4721" s="11" t="str">
        <f t="shared" si="152"/>
        <v>平成6年9月22日</v>
      </c>
      <c r="I4721" s="22">
        <f t="shared" si="151"/>
        <v>34599</v>
      </c>
      <c r="J4721" s="1" t="str">
        <f>"00738532"</f>
        <v>00738532</v>
      </c>
      <c r="K4721" s="1" t="str">
        <f>"１３１２　　　　　　　　　　　　　　　　"</f>
        <v>１３１２　　　　　　　　　　　　　　　　</v>
      </c>
      <c r="L4721" s="1"/>
    </row>
    <row r="4722" spans="1:12" ht="18" customHeight="1" x14ac:dyDescent="0.15">
      <c r="A4722" s="11">
        <v>1080</v>
      </c>
      <c r="B4722" s="11" t="s">
        <v>28</v>
      </c>
      <c r="C4722" s="11" t="s">
        <v>146</v>
      </c>
      <c r="D4722" s="11">
        <v>1</v>
      </c>
      <c r="E4722" s="11" t="s">
        <v>4</v>
      </c>
      <c r="F4722" s="12">
        <v>20818</v>
      </c>
      <c r="G4722" s="12">
        <v>20818</v>
      </c>
      <c r="H4722" s="11" t="str">
        <f t="shared" si="152"/>
        <v>平成6年9月22日</v>
      </c>
      <c r="I4722" s="22">
        <f t="shared" si="151"/>
        <v>34599</v>
      </c>
      <c r="J4722" s="1" t="str">
        <f>"00738534"</f>
        <v>00738534</v>
      </c>
      <c r="K4722" s="1" t="str">
        <f>"１３１３　　　　　　　　　　　　　　　　"</f>
        <v>１３１３　　　　　　　　　　　　　　　　</v>
      </c>
      <c r="L4722" s="1"/>
    </row>
    <row r="4723" spans="1:12" ht="18" customHeight="1" x14ac:dyDescent="0.15">
      <c r="A4723" s="11">
        <v>1081</v>
      </c>
      <c r="B4723" s="11" t="s">
        <v>28</v>
      </c>
      <c r="C4723" s="11" t="s">
        <v>146</v>
      </c>
      <c r="D4723" s="11">
        <v>1</v>
      </c>
      <c r="E4723" s="11" t="s">
        <v>4</v>
      </c>
      <c r="F4723" s="12">
        <v>20818</v>
      </c>
      <c r="G4723" s="12">
        <v>20818</v>
      </c>
      <c r="H4723" s="11" t="str">
        <f t="shared" si="152"/>
        <v>平成6年9月22日</v>
      </c>
      <c r="I4723" s="22">
        <f t="shared" si="151"/>
        <v>34599</v>
      </c>
      <c r="J4723" s="1" t="str">
        <f>"00738536"</f>
        <v>00738536</v>
      </c>
      <c r="K4723" s="1" t="str">
        <f>"１３１４　　　　　　　　　　　　　　　　"</f>
        <v>１３１４　　　　　　　　　　　　　　　　</v>
      </c>
      <c r="L4723" s="1"/>
    </row>
    <row r="4724" spans="1:12" ht="18" customHeight="1" x14ac:dyDescent="0.15">
      <c r="A4724" s="11">
        <v>1082</v>
      </c>
      <c r="B4724" s="11" t="s">
        <v>28</v>
      </c>
      <c r="C4724" s="11" t="s">
        <v>146</v>
      </c>
      <c r="D4724" s="11">
        <v>1</v>
      </c>
      <c r="E4724" s="11" t="s">
        <v>4</v>
      </c>
      <c r="F4724" s="12">
        <v>20818</v>
      </c>
      <c r="G4724" s="12">
        <v>20818</v>
      </c>
      <c r="H4724" s="11" t="str">
        <f t="shared" si="152"/>
        <v>平成6年9月22日</v>
      </c>
      <c r="I4724" s="22">
        <f t="shared" si="151"/>
        <v>34599</v>
      </c>
      <c r="J4724" s="1" t="str">
        <f>"00738538"</f>
        <v>00738538</v>
      </c>
      <c r="K4724" s="1" t="str">
        <f>"１３１５　　　　　　　　　　　　　　　　"</f>
        <v>１３１５　　　　　　　　　　　　　　　　</v>
      </c>
      <c r="L4724" s="1"/>
    </row>
    <row r="4725" spans="1:12" ht="18" customHeight="1" x14ac:dyDescent="0.15">
      <c r="A4725" s="11">
        <v>1083</v>
      </c>
      <c r="B4725" s="11" t="s">
        <v>28</v>
      </c>
      <c r="C4725" s="11" t="s">
        <v>146</v>
      </c>
      <c r="D4725" s="11">
        <v>1</v>
      </c>
      <c r="E4725" s="11" t="s">
        <v>4</v>
      </c>
      <c r="F4725" s="12">
        <v>20818</v>
      </c>
      <c r="G4725" s="12">
        <v>20818</v>
      </c>
      <c r="H4725" s="11" t="str">
        <f t="shared" si="152"/>
        <v>平成6年9月22日</v>
      </c>
      <c r="I4725" s="22">
        <f t="shared" si="151"/>
        <v>34599</v>
      </c>
      <c r="J4725" s="1" t="str">
        <f>"00738540"</f>
        <v>00738540</v>
      </c>
      <c r="K4725" s="1" t="str">
        <f>"１３１６　　　　　　　　　　　　　　　　"</f>
        <v>１３１６　　　　　　　　　　　　　　　　</v>
      </c>
      <c r="L4725" s="1"/>
    </row>
    <row r="4726" spans="1:12" ht="18" customHeight="1" x14ac:dyDescent="0.15">
      <c r="A4726" s="11">
        <v>1084</v>
      </c>
      <c r="B4726" s="11" t="s">
        <v>28</v>
      </c>
      <c r="C4726" s="11" t="s">
        <v>146</v>
      </c>
      <c r="D4726" s="11">
        <v>1</v>
      </c>
      <c r="E4726" s="11" t="s">
        <v>4</v>
      </c>
      <c r="F4726" s="12">
        <v>20818</v>
      </c>
      <c r="G4726" s="12">
        <v>20818</v>
      </c>
      <c r="H4726" s="11" t="str">
        <f t="shared" si="152"/>
        <v>平成6年9月22日</v>
      </c>
      <c r="I4726" s="22">
        <f t="shared" si="151"/>
        <v>34599</v>
      </c>
      <c r="J4726" s="1" t="str">
        <f>"00738542"</f>
        <v>00738542</v>
      </c>
      <c r="K4726" s="1" t="str">
        <f>"１３１７　　　　　　　　　　　　　　　　"</f>
        <v>１３１７　　　　　　　　　　　　　　　　</v>
      </c>
      <c r="L4726" s="1"/>
    </row>
    <row r="4727" spans="1:12" ht="18" customHeight="1" x14ac:dyDescent="0.15">
      <c r="A4727" s="11">
        <v>1085</v>
      </c>
      <c r="B4727" s="11" t="s">
        <v>28</v>
      </c>
      <c r="C4727" s="11" t="s">
        <v>146</v>
      </c>
      <c r="D4727" s="11">
        <v>1</v>
      </c>
      <c r="E4727" s="11" t="s">
        <v>4</v>
      </c>
      <c r="F4727" s="12">
        <v>20818</v>
      </c>
      <c r="G4727" s="12">
        <v>20818</v>
      </c>
      <c r="H4727" s="11" t="str">
        <f t="shared" si="152"/>
        <v>平成6年9月22日</v>
      </c>
      <c r="I4727" s="22">
        <f t="shared" si="151"/>
        <v>34599</v>
      </c>
      <c r="J4727" s="1" t="str">
        <f>"00738544"</f>
        <v>00738544</v>
      </c>
      <c r="K4727" s="1" t="str">
        <f>"１３１８　　　　　　　　　　　　　　　　"</f>
        <v>１３１８　　　　　　　　　　　　　　　　</v>
      </c>
      <c r="L4727" s="1"/>
    </row>
    <row r="4728" spans="1:12" ht="18" customHeight="1" x14ac:dyDescent="0.15">
      <c r="A4728" s="11">
        <v>1086</v>
      </c>
      <c r="B4728" s="11" t="s">
        <v>28</v>
      </c>
      <c r="C4728" s="11" t="s">
        <v>146</v>
      </c>
      <c r="D4728" s="11">
        <v>1</v>
      </c>
      <c r="E4728" s="11" t="s">
        <v>4</v>
      </c>
      <c r="F4728" s="12">
        <v>20818</v>
      </c>
      <c r="G4728" s="12">
        <v>20818</v>
      </c>
      <c r="H4728" s="11" t="str">
        <f t="shared" si="152"/>
        <v>平成6年9月22日</v>
      </c>
      <c r="I4728" s="22">
        <f t="shared" si="151"/>
        <v>34599</v>
      </c>
      <c r="J4728" s="1" t="str">
        <f>"00738546"</f>
        <v>00738546</v>
      </c>
      <c r="K4728" s="1" t="str">
        <f>"１３１９　　　　　　　　　　　　　　　　"</f>
        <v>１３１９　　　　　　　　　　　　　　　　</v>
      </c>
      <c r="L4728" s="1"/>
    </row>
    <row r="4729" spans="1:12" ht="18" customHeight="1" x14ac:dyDescent="0.15">
      <c r="A4729" s="11">
        <v>1087</v>
      </c>
      <c r="B4729" s="11" t="s">
        <v>28</v>
      </c>
      <c r="C4729" s="11" t="s">
        <v>146</v>
      </c>
      <c r="D4729" s="11">
        <v>1</v>
      </c>
      <c r="E4729" s="11" t="s">
        <v>4</v>
      </c>
      <c r="F4729" s="12">
        <v>20818</v>
      </c>
      <c r="G4729" s="12">
        <v>20818</v>
      </c>
      <c r="H4729" s="11" t="str">
        <f t="shared" si="152"/>
        <v>平成6年9月22日</v>
      </c>
      <c r="I4729" s="22">
        <f t="shared" si="151"/>
        <v>34599</v>
      </c>
      <c r="J4729" s="1" t="str">
        <f>"00738548"</f>
        <v>00738548</v>
      </c>
      <c r="K4729" s="1" t="str">
        <f>"１３２０　　　　　　　　　　　　　　　　"</f>
        <v>１３２０　　　　　　　　　　　　　　　　</v>
      </c>
      <c r="L4729" s="1"/>
    </row>
    <row r="4730" spans="1:12" ht="18" customHeight="1" x14ac:dyDescent="0.15">
      <c r="A4730" s="11">
        <v>1088</v>
      </c>
      <c r="B4730" s="11" t="s">
        <v>28</v>
      </c>
      <c r="C4730" s="11" t="s">
        <v>146</v>
      </c>
      <c r="D4730" s="11">
        <v>1</v>
      </c>
      <c r="E4730" s="11" t="s">
        <v>4</v>
      </c>
      <c r="F4730" s="12">
        <v>20818</v>
      </c>
      <c r="G4730" s="12">
        <v>20818</v>
      </c>
      <c r="H4730" s="11" t="str">
        <f t="shared" si="152"/>
        <v>平成6年9月22日</v>
      </c>
      <c r="I4730" s="22">
        <f t="shared" si="151"/>
        <v>34599</v>
      </c>
      <c r="J4730" s="1" t="str">
        <f>"00738550"</f>
        <v>00738550</v>
      </c>
      <c r="K4730" s="1" t="str">
        <f>"１３２１　　　　　　　　　　　　　　　　"</f>
        <v>１３２１　　　　　　　　　　　　　　　　</v>
      </c>
      <c r="L4730" s="1"/>
    </row>
    <row r="4731" spans="1:12" ht="18" customHeight="1" x14ac:dyDescent="0.15">
      <c r="A4731" s="11">
        <v>1089</v>
      </c>
      <c r="B4731" s="11" t="s">
        <v>28</v>
      </c>
      <c r="C4731" s="11" t="s">
        <v>146</v>
      </c>
      <c r="D4731" s="11">
        <v>1</v>
      </c>
      <c r="E4731" s="11" t="s">
        <v>4</v>
      </c>
      <c r="F4731" s="12">
        <v>20818</v>
      </c>
      <c r="G4731" s="12">
        <v>20818</v>
      </c>
      <c r="H4731" s="11" t="str">
        <f t="shared" si="152"/>
        <v>平成6年9月22日</v>
      </c>
      <c r="I4731" s="22">
        <f t="shared" si="151"/>
        <v>34599</v>
      </c>
      <c r="J4731" s="1" t="str">
        <f>"00738552"</f>
        <v>00738552</v>
      </c>
      <c r="K4731" s="1" t="str">
        <f>"１３２２　　　　　　　　　　　　　　　　"</f>
        <v>１３２２　　　　　　　　　　　　　　　　</v>
      </c>
      <c r="L4731" s="1"/>
    </row>
    <row r="4732" spans="1:12" ht="18" customHeight="1" x14ac:dyDescent="0.15">
      <c r="A4732" s="11">
        <v>1090</v>
      </c>
      <c r="B4732" s="11" t="s">
        <v>28</v>
      </c>
      <c r="C4732" s="11" t="s">
        <v>146</v>
      </c>
      <c r="D4732" s="11">
        <v>1</v>
      </c>
      <c r="E4732" s="11" t="s">
        <v>4</v>
      </c>
      <c r="F4732" s="12">
        <v>20818</v>
      </c>
      <c r="G4732" s="12">
        <v>20818</v>
      </c>
      <c r="H4732" s="11" t="str">
        <f t="shared" si="152"/>
        <v>平成6年9月22日</v>
      </c>
      <c r="I4732" s="22">
        <f t="shared" si="151"/>
        <v>34599</v>
      </c>
      <c r="J4732" s="1" t="str">
        <f>"00738554"</f>
        <v>00738554</v>
      </c>
      <c r="K4732" s="1" t="str">
        <f>"１３２３　　　　　　　　　　　　　　　　"</f>
        <v>１３２３　　　　　　　　　　　　　　　　</v>
      </c>
      <c r="L4732" s="1"/>
    </row>
    <row r="4733" spans="1:12" ht="18" customHeight="1" x14ac:dyDescent="0.15">
      <c r="A4733" s="11">
        <v>1091</v>
      </c>
      <c r="B4733" s="11" t="s">
        <v>28</v>
      </c>
      <c r="C4733" s="11" t="s">
        <v>146</v>
      </c>
      <c r="D4733" s="11">
        <v>1</v>
      </c>
      <c r="E4733" s="11" t="s">
        <v>4</v>
      </c>
      <c r="F4733" s="12">
        <v>20818</v>
      </c>
      <c r="G4733" s="12">
        <v>20818</v>
      </c>
      <c r="H4733" s="11" t="str">
        <f t="shared" si="152"/>
        <v>平成6年9月22日</v>
      </c>
      <c r="I4733" s="22">
        <f t="shared" si="151"/>
        <v>34599</v>
      </c>
      <c r="J4733" s="1" t="str">
        <f>"00738556"</f>
        <v>00738556</v>
      </c>
      <c r="K4733" s="1" t="str">
        <f>"１３２４　　　　　　　　　　　　　　　　"</f>
        <v>１３２４　　　　　　　　　　　　　　　　</v>
      </c>
      <c r="L4733" s="1"/>
    </row>
    <row r="4734" spans="1:12" ht="18" customHeight="1" x14ac:dyDescent="0.15">
      <c r="A4734" s="11">
        <v>1092</v>
      </c>
      <c r="B4734" s="11" t="s">
        <v>28</v>
      </c>
      <c r="C4734" s="11" t="s">
        <v>146</v>
      </c>
      <c r="D4734" s="11">
        <v>1</v>
      </c>
      <c r="E4734" s="11" t="s">
        <v>4</v>
      </c>
      <c r="F4734" s="12">
        <v>20818</v>
      </c>
      <c r="G4734" s="12">
        <v>20818</v>
      </c>
      <c r="H4734" s="11" t="str">
        <f t="shared" si="152"/>
        <v>平成6年9月22日</v>
      </c>
      <c r="I4734" s="22">
        <f t="shared" si="151"/>
        <v>34599</v>
      </c>
      <c r="J4734" s="1" t="str">
        <f>"00738558"</f>
        <v>00738558</v>
      </c>
      <c r="K4734" s="1" t="str">
        <f>"１３２５　　　　　　　　　　　　　　　　"</f>
        <v>１３２５　　　　　　　　　　　　　　　　</v>
      </c>
      <c r="L4734" s="1"/>
    </row>
    <row r="4735" spans="1:12" ht="18" customHeight="1" x14ac:dyDescent="0.15">
      <c r="A4735" s="11">
        <v>1093</v>
      </c>
      <c r="B4735" s="11" t="s">
        <v>28</v>
      </c>
      <c r="C4735" s="11" t="s">
        <v>146</v>
      </c>
      <c r="D4735" s="11">
        <v>1</v>
      </c>
      <c r="E4735" s="11" t="s">
        <v>4</v>
      </c>
      <c r="F4735" s="12">
        <v>20818</v>
      </c>
      <c r="G4735" s="12">
        <v>20818</v>
      </c>
      <c r="H4735" s="11" t="str">
        <f t="shared" si="152"/>
        <v>平成6年9月22日</v>
      </c>
      <c r="I4735" s="22">
        <f t="shared" si="151"/>
        <v>34599</v>
      </c>
      <c r="J4735" s="1" t="str">
        <f>"00738560"</f>
        <v>00738560</v>
      </c>
      <c r="K4735" s="1" t="str">
        <f>"１３２６　　　　　　　　　　　　　　　　"</f>
        <v>１３２６　　　　　　　　　　　　　　　　</v>
      </c>
      <c r="L4735" s="1"/>
    </row>
    <row r="4736" spans="1:12" ht="18" customHeight="1" x14ac:dyDescent="0.15">
      <c r="A4736" s="11">
        <v>1094</v>
      </c>
      <c r="B4736" s="11" t="s">
        <v>28</v>
      </c>
      <c r="C4736" s="11" t="s">
        <v>146</v>
      </c>
      <c r="D4736" s="11">
        <v>1</v>
      </c>
      <c r="E4736" s="11" t="s">
        <v>4</v>
      </c>
      <c r="F4736" s="12">
        <v>20818</v>
      </c>
      <c r="G4736" s="12">
        <v>20818</v>
      </c>
      <c r="H4736" s="11" t="str">
        <f t="shared" si="152"/>
        <v>平成6年9月22日</v>
      </c>
      <c r="I4736" s="22">
        <f t="shared" si="151"/>
        <v>34599</v>
      </c>
      <c r="J4736" s="1" t="str">
        <f>"00738562"</f>
        <v>00738562</v>
      </c>
      <c r="K4736" s="1" t="str">
        <f>"１３２７　　　　　　　　　　　　　　　　"</f>
        <v>１３２７　　　　　　　　　　　　　　　　</v>
      </c>
      <c r="L4736" s="1"/>
    </row>
    <row r="4737" spans="1:12" ht="18" customHeight="1" x14ac:dyDescent="0.15">
      <c r="A4737" s="11">
        <v>1095</v>
      </c>
      <c r="B4737" s="11" t="s">
        <v>28</v>
      </c>
      <c r="C4737" s="11" t="s">
        <v>146</v>
      </c>
      <c r="D4737" s="11">
        <v>1</v>
      </c>
      <c r="E4737" s="11" t="s">
        <v>4</v>
      </c>
      <c r="F4737" s="12">
        <v>20818</v>
      </c>
      <c r="G4737" s="12">
        <v>20818</v>
      </c>
      <c r="H4737" s="11" t="str">
        <f t="shared" si="152"/>
        <v>平成6年9月22日</v>
      </c>
      <c r="I4737" s="22">
        <f t="shared" si="151"/>
        <v>34599</v>
      </c>
      <c r="J4737" s="1" t="str">
        <f>"00738564"</f>
        <v>00738564</v>
      </c>
      <c r="K4737" s="1" t="str">
        <f>"１３２８　　　　　　　　　　　　　　　　"</f>
        <v>１３２８　　　　　　　　　　　　　　　　</v>
      </c>
      <c r="L4737" s="1"/>
    </row>
    <row r="4738" spans="1:12" ht="18" customHeight="1" x14ac:dyDescent="0.15">
      <c r="A4738" s="11">
        <v>44</v>
      </c>
      <c r="B4738" s="11" t="s">
        <v>74</v>
      </c>
      <c r="C4738" s="11" t="s">
        <v>77</v>
      </c>
      <c r="D4738" s="11">
        <v>1</v>
      </c>
      <c r="E4738" s="11" t="s">
        <v>4</v>
      </c>
      <c r="F4738" s="12">
        <v>23381</v>
      </c>
      <c r="G4738" s="12">
        <v>23381</v>
      </c>
      <c r="H4738" s="11" t="str">
        <f t="shared" ref="H4738:H4801" si="153">"平成7年3月31日"</f>
        <v>平成7年3月31日</v>
      </c>
      <c r="I4738" s="22">
        <f t="shared" si="151"/>
        <v>34789</v>
      </c>
      <c r="J4738" s="1" t="str">
        <f>"00735912"</f>
        <v>00735912</v>
      </c>
      <c r="K4738" s="1" t="str">
        <f>"３１１　　　　　　　　　　　　　　　　　"</f>
        <v>３１１　　　　　　　　　　　　　　　　　</v>
      </c>
      <c r="L4738" s="1"/>
    </row>
    <row r="4739" spans="1:12" ht="18" customHeight="1" x14ac:dyDescent="0.15">
      <c r="A4739" s="11">
        <v>45</v>
      </c>
      <c r="B4739" s="11" t="s">
        <v>74</v>
      </c>
      <c r="C4739" s="11" t="s">
        <v>79</v>
      </c>
      <c r="D4739" s="11">
        <v>1</v>
      </c>
      <c r="E4739" s="11" t="s">
        <v>4</v>
      </c>
      <c r="F4739" s="12">
        <v>20600</v>
      </c>
      <c r="G4739" s="12">
        <v>20600</v>
      </c>
      <c r="H4739" s="11" t="str">
        <f t="shared" si="153"/>
        <v>平成7年3月31日</v>
      </c>
      <c r="I4739" s="22">
        <f t="shared" si="151"/>
        <v>34789</v>
      </c>
      <c r="J4739" s="1" t="str">
        <f>"00735920"</f>
        <v>00735920</v>
      </c>
      <c r="K4739" s="1" t="str">
        <f>"３１２　　　　　　　　　　　　　　　　　"</f>
        <v>３１２　　　　　　　　　　　　　　　　　</v>
      </c>
      <c r="L4739" s="1"/>
    </row>
    <row r="4740" spans="1:12" ht="18" customHeight="1" x14ac:dyDescent="0.15">
      <c r="A4740" s="11">
        <v>48</v>
      </c>
      <c r="B4740" s="11" t="s">
        <v>81</v>
      </c>
      <c r="C4740" s="11" t="s">
        <v>82</v>
      </c>
      <c r="D4740" s="11">
        <v>1</v>
      </c>
      <c r="E4740" s="11" t="s">
        <v>9</v>
      </c>
      <c r="F4740" s="12">
        <v>51335</v>
      </c>
      <c r="G4740" s="12">
        <v>51335</v>
      </c>
      <c r="H4740" s="11" t="str">
        <f t="shared" si="153"/>
        <v>平成7年3月31日</v>
      </c>
      <c r="I4740" s="22">
        <f t="shared" si="151"/>
        <v>34789</v>
      </c>
      <c r="J4740" s="1" t="str">
        <f>"00735944"</f>
        <v>00735944</v>
      </c>
      <c r="K4740" s="1" t="str">
        <f>"３０１　　　　　　　　　　　　　　　　　"</f>
        <v>３０１　　　　　　　　　　　　　　　　　</v>
      </c>
      <c r="L4740" s="1"/>
    </row>
    <row r="4741" spans="1:12" ht="18" customHeight="1" x14ac:dyDescent="0.15">
      <c r="A4741" s="11">
        <v>106</v>
      </c>
      <c r="B4741" s="11" t="s">
        <v>62</v>
      </c>
      <c r="C4741" s="11" t="s">
        <v>110</v>
      </c>
      <c r="D4741" s="11">
        <v>1</v>
      </c>
      <c r="E4741" s="11" t="s">
        <v>4</v>
      </c>
      <c r="F4741" s="12">
        <v>31003</v>
      </c>
      <c r="G4741" s="12">
        <v>31003</v>
      </c>
      <c r="H4741" s="11" t="str">
        <f t="shared" si="153"/>
        <v>平成7年3月31日</v>
      </c>
      <c r="I4741" s="22">
        <f t="shared" si="151"/>
        <v>34789</v>
      </c>
      <c r="J4741" s="1" t="str">
        <f>"00736315"</f>
        <v>00736315</v>
      </c>
      <c r="K4741" s="1" t="str">
        <f>"４０５　　　　　　　　　　　　　　　　　"</f>
        <v>４０５　　　　　　　　　　　　　　　　　</v>
      </c>
      <c r="L4741" s="1"/>
    </row>
    <row r="4742" spans="1:12" ht="18" customHeight="1" x14ac:dyDescent="0.15">
      <c r="A4742" s="11">
        <v>107</v>
      </c>
      <c r="B4742" s="11" t="s">
        <v>62</v>
      </c>
      <c r="C4742" s="11" t="s">
        <v>110</v>
      </c>
      <c r="D4742" s="11">
        <v>1</v>
      </c>
      <c r="E4742" s="11" t="s">
        <v>4</v>
      </c>
      <c r="F4742" s="12">
        <v>31003</v>
      </c>
      <c r="G4742" s="12">
        <v>31003</v>
      </c>
      <c r="H4742" s="11" t="str">
        <f t="shared" si="153"/>
        <v>平成7年3月31日</v>
      </c>
      <c r="I4742" s="22">
        <f t="shared" si="151"/>
        <v>34789</v>
      </c>
      <c r="J4742" s="1" t="str">
        <f>"00736318"</f>
        <v>00736318</v>
      </c>
      <c r="K4742" s="1" t="str">
        <f>"４０６　　　　　　　　　　　　　　　　　"</f>
        <v>４０６　　　　　　　　　　　　　　　　　</v>
      </c>
      <c r="L4742" s="1"/>
    </row>
    <row r="4743" spans="1:12" ht="18" customHeight="1" x14ac:dyDescent="0.15">
      <c r="A4743" s="11">
        <v>108</v>
      </c>
      <c r="B4743" s="11" t="s">
        <v>62</v>
      </c>
      <c r="C4743" s="11" t="s">
        <v>110</v>
      </c>
      <c r="D4743" s="11">
        <v>1</v>
      </c>
      <c r="E4743" s="11" t="s">
        <v>4</v>
      </c>
      <c r="F4743" s="12">
        <v>31003</v>
      </c>
      <c r="G4743" s="12">
        <v>31003</v>
      </c>
      <c r="H4743" s="11" t="str">
        <f t="shared" si="153"/>
        <v>平成7年3月31日</v>
      </c>
      <c r="I4743" s="22">
        <f t="shared" si="151"/>
        <v>34789</v>
      </c>
      <c r="J4743" s="1" t="str">
        <f>"00736321"</f>
        <v>00736321</v>
      </c>
      <c r="K4743" s="1" t="str">
        <f>"４０７　　　　　　　　　　　　　　　　　"</f>
        <v>４０７　　　　　　　　　　　　　　　　　</v>
      </c>
      <c r="L4743" s="1"/>
    </row>
    <row r="4744" spans="1:12" ht="18" customHeight="1" x14ac:dyDescent="0.15">
      <c r="A4744" s="11">
        <v>109</v>
      </c>
      <c r="B4744" s="11" t="s">
        <v>62</v>
      </c>
      <c r="C4744" s="11" t="s">
        <v>110</v>
      </c>
      <c r="D4744" s="11">
        <v>1</v>
      </c>
      <c r="E4744" s="11" t="s">
        <v>4</v>
      </c>
      <c r="F4744" s="12">
        <v>31003</v>
      </c>
      <c r="G4744" s="12">
        <v>31003</v>
      </c>
      <c r="H4744" s="11" t="str">
        <f t="shared" si="153"/>
        <v>平成7年3月31日</v>
      </c>
      <c r="I4744" s="22">
        <f t="shared" si="151"/>
        <v>34789</v>
      </c>
      <c r="J4744" s="1" t="str">
        <f>"00736324"</f>
        <v>00736324</v>
      </c>
      <c r="K4744" s="1" t="str">
        <f>"４０８　　　　　　　　　　　　　　　　　"</f>
        <v>４０８　　　　　　　　　　　　　　　　　</v>
      </c>
      <c r="L4744" s="1"/>
    </row>
    <row r="4745" spans="1:12" ht="18" customHeight="1" x14ac:dyDescent="0.15">
      <c r="A4745" s="11">
        <v>110</v>
      </c>
      <c r="B4745" s="11" t="s">
        <v>62</v>
      </c>
      <c r="C4745" s="11" t="s">
        <v>110</v>
      </c>
      <c r="D4745" s="11">
        <v>1</v>
      </c>
      <c r="E4745" s="11" t="s">
        <v>4</v>
      </c>
      <c r="F4745" s="12">
        <v>31003</v>
      </c>
      <c r="G4745" s="12">
        <v>31003</v>
      </c>
      <c r="H4745" s="11" t="str">
        <f t="shared" si="153"/>
        <v>平成7年3月31日</v>
      </c>
      <c r="I4745" s="22">
        <f t="shared" si="151"/>
        <v>34789</v>
      </c>
      <c r="J4745" s="1" t="str">
        <f>"00736327"</f>
        <v>00736327</v>
      </c>
      <c r="K4745" s="1" t="str">
        <f>"４０９　　　　　　　　　　　　　　　　　"</f>
        <v>４０９　　　　　　　　　　　　　　　　　</v>
      </c>
      <c r="L4745" s="1"/>
    </row>
    <row r="4746" spans="1:12" ht="18" customHeight="1" x14ac:dyDescent="0.15">
      <c r="A4746" s="11">
        <v>140</v>
      </c>
      <c r="B4746" s="11" t="s">
        <v>52</v>
      </c>
      <c r="C4746" s="11" t="s">
        <v>117</v>
      </c>
      <c r="D4746" s="11">
        <v>1</v>
      </c>
      <c r="E4746" s="11" t="s">
        <v>4</v>
      </c>
      <c r="F4746" s="12">
        <v>31260</v>
      </c>
      <c r="G4746" s="12">
        <v>31260</v>
      </c>
      <c r="H4746" s="11" t="str">
        <f t="shared" si="153"/>
        <v>平成7年3月31日</v>
      </c>
      <c r="I4746" s="22">
        <f t="shared" si="151"/>
        <v>34789</v>
      </c>
      <c r="J4746" s="1" t="str">
        <f>"00736420"</f>
        <v>00736420</v>
      </c>
      <c r="K4746" s="1" t="str">
        <f>"３０６　　　　　　　　　　　　　　　　　"</f>
        <v>３０６　　　　　　　　　　　　　　　　　</v>
      </c>
      <c r="L4746" s="1"/>
    </row>
    <row r="4747" spans="1:12" ht="18" customHeight="1" x14ac:dyDescent="0.15">
      <c r="A4747" s="11">
        <v>141</v>
      </c>
      <c r="B4747" s="11" t="s">
        <v>52</v>
      </c>
      <c r="C4747" s="11" t="s">
        <v>117</v>
      </c>
      <c r="D4747" s="11">
        <v>1</v>
      </c>
      <c r="E4747" s="11" t="s">
        <v>4</v>
      </c>
      <c r="F4747" s="12">
        <v>31260</v>
      </c>
      <c r="G4747" s="12">
        <v>31260</v>
      </c>
      <c r="H4747" s="11" t="str">
        <f t="shared" si="153"/>
        <v>平成7年3月31日</v>
      </c>
      <c r="I4747" s="22">
        <f t="shared" si="151"/>
        <v>34789</v>
      </c>
      <c r="J4747" s="1" t="str">
        <f>"00736423"</f>
        <v>00736423</v>
      </c>
      <c r="K4747" s="1" t="str">
        <f>"３０７　　　　　　　　　　　　　　　　　"</f>
        <v>３０７　　　　　　　　　　　　　　　　　</v>
      </c>
      <c r="L4747" s="1"/>
    </row>
    <row r="4748" spans="1:12" ht="18" customHeight="1" x14ac:dyDescent="0.15">
      <c r="A4748" s="11">
        <v>3597</v>
      </c>
      <c r="B4748" s="11" t="s">
        <v>54</v>
      </c>
      <c r="C4748" s="11" t="s">
        <v>185</v>
      </c>
      <c r="D4748" s="11">
        <v>1</v>
      </c>
      <c r="E4748" s="11" t="s">
        <v>4</v>
      </c>
      <c r="F4748" s="12">
        <v>46350</v>
      </c>
      <c r="G4748" s="12">
        <v>46350</v>
      </c>
      <c r="H4748" s="11" t="str">
        <f t="shared" si="153"/>
        <v>平成7年3月31日</v>
      </c>
      <c r="I4748" s="22">
        <f t="shared" si="151"/>
        <v>34789</v>
      </c>
      <c r="J4748" s="1" t="str">
        <f>"00743613"</f>
        <v>00743613</v>
      </c>
      <c r="K4748" s="1" t="str">
        <f>"６８４　　　　　　　　　　　　　　　　　"</f>
        <v>６８４　　　　　　　　　　　　　　　　　</v>
      </c>
      <c r="L4748" s="1"/>
    </row>
    <row r="4749" spans="1:12" ht="18" customHeight="1" x14ac:dyDescent="0.15">
      <c r="A4749" s="11">
        <v>3598</v>
      </c>
      <c r="B4749" s="11" t="s">
        <v>54</v>
      </c>
      <c r="C4749" s="11" t="s">
        <v>185</v>
      </c>
      <c r="D4749" s="11">
        <v>1</v>
      </c>
      <c r="E4749" s="11" t="s">
        <v>4</v>
      </c>
      <c r="F4749" s="12">
        <v>46350</v>
      </c>
      <c r="G4749" s="12">
        <v>46350</v>
      </c>
      <c r="H4749" s="11" t="str">
        <f t="shared" si="153"/>
        <v>平成7年3月31日</v>
      </c>
      <c r="I4749" s="22">
        <f t="shared" si="151"/>
        <v>34789</v>
      </c>
      <c r="J4749" s="1" t="str">
        <f>"00743615"</f>
        <v>00743615</v>
      </c>
      <c r="K4749" s="1" t="str">
        <f>"６８５　　　　　　　　　　　　　　　　　"</f>
        <v>６８５　　　　　　　　　　　　　　　　　</v>
      </c>
      <c r="L4749" s="1"/>
    </row>
    <row r="4750" spans="1:12" ht="18" customHeight="1" x14ac:dyDescent="0.15">
      <c r="A4750" s="11">
        <v>3599</v>
      </c>
      <c r="B4750" s="11" t="s">
        <v>54</v>
      </c>
      <c r="C4750" s="11" t="s">
        <v>185</v>
      </c>
      <c r="D4750" s="11">
        <v>1</v>
      </c>
      <c r="E4750" s="11" t="s">
        <v>4</v>
      </c>
      <c r="F4750" s="12">
        <v>46350</v>
      </c>
      <c r="G4750" s="12">
        <v>46350</v>
      </c>
      <c r="H4750" s="11" t="str">
        <f t="shared" si="153"/>
        <v>平成7年3月31日</v>
      </c>
      <c r="I4750" s="22">
        <f t="shared" si="151"/>
        <v>34789</v>
      </c>
      <c r="J4750" s="1" t="str">
        <f>"00743617"</f>
        <v>00743617</v>
      </c>
      <c r="K4750" s="1" t="str">
        <f>"６８６　　　　　　　　　　　　　　　　　"</f>
        <v>６８６　　　　　　　　　　　　　　　　　</v>
      </c>
      <c r="L4750" s="1"/>
    </row>
    <row r="4751" spans="1:12" ht="18" customHeight="1" x14ac:dyDescent="0.15">
      <c r="A4751" s="11">
        <v>3600</v>
      </c>
      <c r="B4751" s="11" t="s">
        <v>54</v>
      </c>
      <c r="C4751" s="11" t="s">
        <v>185</v>
      </c>
      <c r="D4751" s="11">
        <v>1</v>
      </c>
      <c r="E4751" s="11" t="s">
        <v>4</v>
      </c>
      <c r="F4751" s="12">
        <v>46350</v>
      </c>
      <c r="G4751" s="12">
        <v>46350</v>
      </c>
      <c r="H4751" s="11" t="str">
        <f t="shared" si="153"/>
        <v>平成7年3月31日</v>
      </c>
      <c r="I4751" s="22">
        <f t="shared" si="151"/>
        <v>34789</v>
      </c>
      <c r="J4751" s="1" t="str">
        <f>"00743619"</f>
        <v>00743619</v>
      </c>
      <c r="K4751" s="1" t="str">
        <f>"６８７　　　　　　　　　　　　　　　　　"</f>
        <v>６８７　　　　　　　　　　　　　　　　　</v>
      </c>
      <c r="L4751" s="1"/>
    </row>
    <row r="4752" spans="1:12" ht="18" customHeight="1" x14ac:dyDescent="0.15">
      <c r="A4752" s="11">
        <v>3979</v>
      </c>
      <c r="B4752" s="11" t="s">
        <v>101</v>
      </c>
      <c r="C4752" s="11" t="s">
        <v>257</v>
      </c>
      <c r="D4752" s="11">
        <v>1</v>
      </c>
      <c r="E4752" s="11" t="s">
        <v>4</v>
      </c>
      <c r="F4752" s="12">
        <v>226600</v>
      </c>
      <c r="G4752" s="12">
        <v>226600</v>
      </c>
      <c r="H4752" s="11" t="str">
        <f t="shared" si="153"/>
        <v>平成7年3月31日</v>
      </c>
      <c r="I4752" s="22">
        <f t="shared" si="151"/>
        <v>34789</v>
      </c>
      <c r="J4752" s="1" t="str">
        <f>"00744575"</f>
        <v>00744575</v>
      </c>
      <c r="K4752" s="1" t="str">
        <f>"３９９　　　　　　　　　　　　　　　　　"</f>
        <v>３９９　　　　　　　　　　　　　　　　　</v>
      </c>
      <c r="L4752" s="1"/>
    </row>
    <row r="4753" spans="1:12" ht="18" customHeight="1" x14ac:dyDescent="0.15">
      <c r="A4753" s="11">
        <v>4009</v>
      </c>
      <c r="B4753" s="11" t="s">
        <v>55</v>
      </c>
      <c r="C4753" s="11" t="s">
        <v>268</v>
      </c>
      <c r="D4753" s="11">
        <v>1</v>
      </c>
      <c r="E4753" s="11" t="s">
        <v>4</v>
      </c>
      <c r="F4753" s="12">
        <v>33269</v>
      </c>
      <c r="G4753" s="12">
        <v>33269</v>
      </c>
      <c r="H4753" s="11" t="str">
        <f t="shared" si="153"/>
        <v>平成7年3月31日</v>
      </c>
      <c r="I4753" s="22">
        <f t="shared" si="151"/>
        <v>34789</v>
      </c>
      <c r="J4753" s="1" t="str">
        <f>"00744671"</f>
        <v>00744671</v>
      </c>
      <c r="K4753" s="1" t="str">
        <f>"３１６　　　　　　　　　　　　　　　　　"</f>
        <v>３１６　　　　　　　　　　　　　　　　　</v>
      </c>
      <c r="L4753" s="1"/>
    </row>
    <row r="4754" spans="1:12" ht="18" customHeight="1" x14ac:dyDescent="0.15">
      <c r="A4754" s="11">
        <v>4010</v>
      </c>
      <c r="B4754" s="11" t="s">
        <v>55</v>
      </c>
      <c r="C4754" s="11" t="s">
        <v>268</v>
      </c>
      <c r="D4754" s="11">
        <v>1</v>
      </c>
      <c r="E4754" s="11" t="s">
        <v>4</v>
      </c>
      <c r="F4754" s="12">
        <v>33269</v>
      </c>
      <c r="G4754" s="12">
        <v>33269</v>
      </c>
      <c r="H4754" s="11" t="str">
        <f t="shared" si="153"/>
        <v>平成7年3月31日</v>
      </c>
      <c r="I4754" s="22">
        <f t="shared" ref="I4754:I4817" si="154">DATEVALUE(H4754)</f>
        <v>34789</v>
      </c>
      <c r="J4754" s="1" t="str">
        <f>"00744673"</f>
        <v>00744673</v>
      </c>
      <c r="K4754" s="1" t="str">
        <f>"３１７　　　　　　　　　　　　　　　　　"</f>
        <v>３１７　　　　　　　　　　　　　　　　　</v>
      </c>
      <c r="L4754" s="1"/>
    </row>
    <row r="4755" spans="1:12" ht="18" customHeight="1" x14ac:dyDescent="0.15">
      <c r="A4755" s="11">
        <v>4030</v>
      </c>
      <c r="B4755" s="11" t="s">
        <v>56</v>
      </c>
      <c r="C4755" s="11" t="s">
        <v>111</v>
      </c>
      <c r="D4755" s="11">
        <v>1</v>
      </c>
      <c r="E4755" s="11" t="s">
        <v>4</v>
      </c>
      <c r="F4755" s="12">
        <v>75869</v>
      </c>
      <c r="G4755" s="12">
        <v>75869</v>
      </c>
      <c r="H4755" s="11" t="str">
        <f t="shared" si="153"/>
        <v>平成7年3月31日</v>
      </c>
      <c r="I4755" s="22">
        <f t="shared" si="154"/>
        <v>34789</v>
      </c>
      <c r="J4755" s="1" t="str">
        <f>"00744719"</f>
        <v>00744719</v>
      </c>
      <c r="K4755" s="1" t="str">
        <f>"３２７　　　　　　　　　　　　　　　　　"</f>
        <v>３２７　　　　　　　　　　　　　　　　　</v>
      </c>
      <c r="L4755" s="1"/>
    </row>
    <row r="4756" spans="1:12" ht="18" customHeight="1" x14ac:dyDescent="0.15">
      <c r="A4756" s="11">
        <v>4031</v>
      </c>
      <c r="B4756" s="11" t="s">
        <v>56</v>
      </c>
      <c r="C4756" s="11" t="s">
        <v>111</v>
      </c>
      <c r="D4756" s="11">
        <v>1</v>
      </c>
      <c r="E4756" s="11" t="s">
        <v>4</v>
      </c>
      <c r="F4756" s="12">
        <v>75869</v>
      </c>
      <c r="G4756" s="12">
        <v>75869</v>
      </c>
      <c r="H4756" s="11" t="str">
        <f t="shared" si="153"/>
        <v>平成7年3月31日</v>
      </c>
      <c r="I4756" s="22">
        <f t="shared" si="154"/>
        <v>34789</v>
      </c>
      <c r="J4756" s="1" t="str">
        <f>"00744721"</f>
        <v>00744721</v>
      </c>
      <c r="K4756" s="1" t="str">
        <f>"３２８　　　　　　　　　　　　　　　　　"</f>
        <v>３２８　　　　　　　　　　　　　　　　　</v>
      </c>
      <c r="L4756" s="1"/>
    </row>
    <row r="4757" spans="1:12" ht="18" customHeight="1" x14ac:dyDescent="0.15">
      <c r="A4757" s="11">
        <v>4032</v>
      </c>
      <c r="B4757" s="11" t="s">
        <v>56</v>
      </c>
      <c r="C4757" s="11" t="s">
        <v>276</v>
      </c>
      <c r="D4757" s="11">
        <v>1</v>
      </c>
      <c r="E4757" s="11" t="s">
        <v>4</v>
      </c>
      <c r="F4757" s="12">
        <v>88950</v>
      </c>
      <c r="G4757" s="12">
        <v>88950</v>
      </c>
      <c r="H4757" s="11" t="str">
        <f t="shared" si="153"/>
        <v>平成7年3月31日</v>
      </c>
      <c r="I4757" s="22">
        <f t="shared" si="154"/>
        <v>34789</v>
      </c>
      <c r="J4757" s="1" t="str">
        <f>"00744723"</f>
        <v>00744723</v>
      </c>
      <c r="K4757" s="1" t="str">
        <f>"３２９　　　　　　　　　　　　　　　　　"</f>
        <v>３２９　　　　　　　　　　　　　　　　　</v>
      </c>
      <c r="L4757" s="1"/>
    </row>
    <row r="4758" spans="1:12" ht="18" customHeight="1" x14ac:dyDescent="0.15">
      <c r="A4758" s="11">
        <v>4045</v>
      </c>
      <c r="B4758" s="11" t="s">
        <v>57</v>
      </c>
      <c r="C4758" s="11" t="s">
        <v>281</v>
      </c>
      <c r="D4758" s="11">
        <v>1</v>
      </c>
      <c r="E4758" s="11" t="s">
        <v>4</v>
      </c>
      <c r="F4758" s="12">
        <v>45320</v>
      </c>
      <c r="G4758" s="12">
        <v>45320</v>
      </c>
      <c r="H4758" s="11" t="str">
        <f t="shared" si="153"/>
        <v>平成7年3月31日</v>
      </c>
      <c r="I4758" s="22">
        <f t="shared" si="154"/>
        <v>34789</v>
      </c>
      <c r="J4758" s="1" t="str">
        <f>"00744752"</f>
        <v>00744752</v>
      </c>
      <c r="K4758" s="1" t="str">
        <f>"３１９　　　　　　　　　　　　　　　　　"</f>
        <v>３１９　　　　　　　　　　　　　　　　　</v>
      </c>
      <c r="L4758" s="1"/>
    </row>
    <row r="4759" spans="1:12" ht="18" customHeight="1" x14ac:dyDescent="0.15">
      <c r="A4759" s="11">
        <v>4046</v>
      </c>
      <c r="B4759" s="11" t="s">
        <v>57</v>
      </c>
      <c r="C4759" s="11" t="s">
        <v>282</v>
      </c>
      <c r="D4759" s="11">
        <v>1</v>
      </c>
      <c r="E4759" s="11" t="s">
        <v>4</v>
      </c>
      <c r="F4759" s="12">
        <v>34978</v>
      </c>
      <c r="G4759" s="12">
        <v>34978</v>
      </c>
      <c r="H4759" s="11" t="str">
        <f t="shared" si="153"/>
        <v>平成7年3月31日</v>
      </c>
      <c r="I4759" s="22">
        <f t="shared" si="154"/>
        <v>34789</v>
      </c>
      <c r="J4759" s="1" t="str">
        <f>"00744754"</f>
        <v>00744754</v>
      </c>
      <c r="K4759" s="1" t="str">
        <f>"３２１　　　　　　　　　　　　　　　　　"</f>
        <v>３２１　　　　　　　　　　　　　　　　　</v>
      </c>
      <c r="L4759" s="1"/>
    </row>
    <row r="4760" spans="1:12" ht="18" customHeight="1" x14ac:dyDescent="0.15">
      <c r="A4760" s="11">
        <v>4047</v>
      </c>
      <c r="B4760" s="11" t="s">
        <v>57</v>
      </c>
      <c r="C4760" s="11" t="s">
        <v>282</v>
      </c>
      <c r="D4760" s="11">
        <v>1</v>
      </c>
      <c r="E4760" s="11" t="s">
        <v>4</v>
      </c>
      <c r="F4760" s="12">
        <v>34978</v>
      </c>
      <c r="G4760" s="12">
        <v>34978</v>
      </c>
      <c r="H4760" s="11" t="str">
        <f t="shared" si="153"/>
        <v>平成7年3月31日</v>
      </c>
      <c r="I4760" s="22">
        <f t="shared" si="154"/>
        <v>34789</v>
      </c>
      <c r="J4760" s="1" t="str">
        <f>"00744756"</f>
        <v>00744756</v>
      </c>
      <c r="K4760" s="1" t="str">
        <f>"３２２　　　　　　　　　　　　　　　　　"</f>
        <v>３２２　　　　　　　　　　　　　　　　　</v>
      </c>
      <c r="L4760" s="1"/>
    </row>
    <row r="4761" spans="1:12" ht="18" customHeight="1" x14ac:dyDescent="0.15">
      <c r="A4761" s="11">
        <v>4203</v>
      </c>
      <c r="B4761" s="11" t="s">
        <v>58</v>
      </c>
      <c r="C4761" s="11" t="s">
        <v>301</v>
      </c>
      <c r="D4761" s="11">
        <v>1</v>
      </c>
      <c r="E4761" s="11" t="s">
        <v>17</v>
      </c>
      <c r="F4761" s="12">
        <v>40324</v>
      </c>
      <c r="G4761" s="12">
        <v>40324</v>
      </c>
      <c r="H4761" s="11" t="str">
        <f t="shared" si="153"/>
        <v>平成7年3月31日</v>
      </c>
      <c r="I4761" s="22">
        <f t="shared" si="154"/>
        <v>34789</v>
      </c>
      <c r="J4761" s="1" t="str">
        <f>"00745199"</f>
        <v>00745199</v>
      </c>
      <c r="K4761" s="1" t="str">
        <f>"３９７　　　　　　　　　　　　　　　　　"</f>
        <v>３９７　　　　　　　　　　　　　　　　　</v>
      </c>
      <c r="L4761" s="1"/>
    </row>
    <row r="4762" spans="1:12" ht="18" customHeight="1" x14ac:dyDescent="0.15">
      <c r="A4762" s="11">
        <v>4204</v>
      </c>
      <c r="B4762" s="11" t="s">
        <v>58</v>
      </c>
      <c r="C4762" s="11" t="s">
        <v>301</v>
      </c>
      <c r="D4762" s="11">
        <v>1</v>
      </c>
      <c r="E4762" s="11" t="s">
        <v>17</v>
      </c>
      <c r="F4762" s="12">
        <v>40324</v>
      </c>
      <c r="G4762" s="12">
        <v>40324</v>
      </c>
      <c r="H4762" s="11" t="str">
        <f t="shared" si="153"/>
        <v>平成7年3月31日</v>
      </c>
      <c r="I4762" s="22">
        <f t="shared" si="154"/>
        <v>34789</v>
      </c>
      <c r="J4762" s="1" t="str">
        <f>"00745201"</f>
        <v>00745201</v>
      </c>
      <c r="K4762" s="1" t="str">
        <f>"３９８　　　　　　　　　　　　　　　　　"</f>
        <v>３９８　　　　　　　　　　　　　　　　　</v>
      </c>
      <c r="L4762" s="1"/>
    </row>
    <row r="4763" spans="1:12" ht="18" customHeight="1" x14ac:dyDescent="0.15">
      <c r="A4763" s="11">
        <v>4254</v>
      </c>
      <c r="B4763" s="11" t="s">
        <v>312</v>
      </c>
      <c r="C4763" s="11" t="s">
        <v>315</v>
      </c>
      <c r="D4763" s="11">
        <v>1</v>
      </c>
      <c r="E4763" s="11" t="s">
        <v>4</v>
      </c>
      <c r="F4763" s="12">
        <v>123600</v>
      </c>
      <c r="G4763" s="12">
        <v>123600</v>
      </c>
      <c r="H4763" s="11" t="str">
        <f t="shared" si="153"/>
        <v>平成7年3月31日</v>
      </c>
      <c r="I4763" s="22">
        <f t="shared" si="154"/>
        <v>34789</v>
      </c>
      <c r="J4763" s="1" t="str">
        <f>"00745301"</f>
        <v>00745301</v>
      </c>
      <c r="K4763" s="1" t="str">
        <f>"３０２　　　　　　　　　　　　　　　　　"</f>
        <v>３０２　　　　　　　　　　　　　　　　　</v>
      </c>
      <c r="L4763" s="1"/>
    </row>
    <row r="4764" spans="1:12" ht="18" customHeight="1" x14ac:dyDescent="0.15">
      <c r="A4764" s="11">
        <v>4255</v>
      </c>
      <c r="B4764" s="11" t="s">
        <v>312</v>
      </c>
      <c r="C4764" s="11" t="s">
        <v>315</v>
      </c>
      <c r="D4764" s="11">
        <v>1</v>
      </c>
      <c r="E4764" s="11" t="s">
        <v>4</v>
      </c>
      <c r="F4764" s="12">
        <v>123600</v>
      </c>
      <c r="G4764" s="12">
        <v>123600</v>
      </c>
      <c r="H4764" s="11" t="str">
        <f t="shared" si="153"/>
        <v>平成7年3月31日</v>
      </c>
      <c r="I4764" s="22">
        <f t="shared" si="154"/>
        <v>34789</v>
      </c>
      <c r="J4764" s="1" t="str">
        <f>"00745303"</f>
        <v>00745303</v>
      </c>
      <c r="K4764" s="1" t="str">
        <f>"３０３　　　　　　　　　　　　　　　　　"</f>
        <v>３０３　　　　　　　　　　　　　　　　　</v>
      </c>
      <c r="L4764" s="1"/>
    </row>
    <row r="4765" spans="1:12" ht="18" customHeight="1" x14ac:dyDescent="0.15">
      <c r="A4765" s="11">
        <v>4256</v>
      </c>
      <c r="B4765" s="11" t="s">
        <v>312</v>
      </c>
      <c r="C4765" s="11" t="s">
        <v>315</v>
      </c>
      <c r="D4765" s="11">
        <v>1</v>
      </c>
      <c r="E4765" s="11" t="s">
        <v>4</v>
      </c>
      <c r="F4765" s="12">
        <v>72100</v>
      </c>
      <c r="G4765" s="12">
        <v>72100</v>
      </c>
      <c r="H4765" s="11" t="str">
        <f t="shared" si="153"/>
        <v>平成7年3月31日</v>
      </c>
      <c r="I4765" s="22">
        <f t="shared" si="154"/>
        <v>34789</v>
      </c>
      <c r="J4765" s="1" t="str">
        <f>"00745305"</f>
        <v>00745305</v>
      </c>
      <c r="K4765" s="1" t="str">
        <f>"３０４　　　　　　　　　　　　　　　　　"</f>
        <v>３０４　　　　　　　　　　　　　　　　　</v>
      </c>
      <c r="L4765" s="1"/>
    </row>
    <row r="4766" spans="1:12" ht="18" customHeight="1" x14ac:dyDescent="0.15">
      <c r="A4766" s="11">
        <v>4257</v>
      </c>
      <c r="B4766" s="11" t="s">
        <v>312</v>
      </c>
      <c r="C4766" s="11" t="s">
        <v>315</v>
      </c>
      <c r="D4766" s="11">
        <v>1</v>
      </c>
      <c r="E4766" s="11" t="s">
        <v>4</v>
      </c>
      <c r="F4766" s="12">
        <v>72100</v>
      </c>
      <c r="G4766" s="12">
        <v>72100</v>
      </c>
      <c r="H4766" s="11" t="str">
        <f t="shared" si="153"/>
        <v>平成7年3月31日</v>
      </c>
      <c r="I4766" s="22">
        <f t="shared" si="154"/>
        <v>34789</v>
      </c>
      <c r="J4766" s="1" t="str">
        <f>"00745307"</f>
        <v>00745307</v>
      </c>
      <c r="K4766" s="1" t="str">
        <f>"３０５　　　　　　　　　　　　　　　　　"</f>
        <v>３０５　　　　　　　　　　　　　　　　　</v>
      </c>
      <c r="L4766" s="1"/>
    </row>
    <row r="4767" spans="1:12" ht="18" customHeight="1" x14ac:dyDescent="0.15">
      <c r="A4767" s="11">
        <v>4258</v>
      </c>
      <c r="B4767" s="11" t="s">
        <v>312</v>
      </c>
      <c r="C4767" s="11" t="s">
        <v>315</v>
      </c>
      <c r="D4767" s="11">
        <v>1</v>
      </c>
      <c r="E4767" s="11" t="s">
        <v>4</v>
      </c>
      <c r="F4767" s="12">
        <v>72100</v>
      </c>
      <c r="G4767" s="12">
        <v>72100</v>
      </c>
      <c r="H4767" s="11" t="str">
        <f t="shared" si="153"/>
        <v>平成7年3月31日</v>
      </c>
      <c r="I4767" s="22">
        <f t="shared" si="154"/>
        <v>34789</v>
      </c>
      <c r="J4767" s="1" t="str">
        <f>"00745309"</f>
        <v>00745309</v>
      </c>
      <c r="K4767" s="1" t="str">
        <f>"３０６　　　　　　　　　　　　　　　　　"</f>
        <v>３０６　　　　　　　　　　　　　　　　　</v>
      </c>
      <c r="L4767" s="1"/>
    </row>
    <row r="4768" spans="1:12" ht="18" customHeight="1" x14ac:dyDescent="0.15">
      <c r="A4768" s="11">
        <v>4259</v>
      </c>
      <c r="B4768" s="11" t="s">
        <v>312</v>
      </c>
      <c r="C4768" s="11" t="s">
        <v>315</v>
      </c>
      <c r="D4768" s="11">
        <v>1</v>
      </c>
      <c r="E4768" s="11" t="s">
        <v>4</v>
      </c>
      <c r="F4768" s="12">
        <v>72100</v>
      </c>
      <c r="G4768" s="12">
        <v>72100</v>
      </c>
      <c r="H4768" s="11" t="str">
        <f t="shared" si="153"/>
        <v>平成7年3月31日</v>
      </c>
      <c r="I4768" s="22">
        <f t="shared" si="154"/>
        <v>34789</v>
      </c>
      <c r="J4768" s="1" t="str">
        <f>"00745311"</f>
        <v>00745311</v>
      </c>
      <c r="K4768" s="1" t="str">
        <f>"３０７　　　　　　　　　　　　　　　　　"</f>
        <v>３０７　　　　　　　　　　　　　　　　　</v>
      </c>
      <c r="L4768" s="1"/>
    </row>
    <row r="4769" spans="1:12" ht="18" customHeight="1" x14ac:dyDescent="0.15">
      <c r="A4769" s="11">
        <v>4260</v>
      </c>
      <c r="B4769" s="11" t="s">
        <v>312</v>
      </c>
      <c r="C4769" s="11" t="s">
        <v>315</v>
      </c>
      <c r="D4769" s="11">
        <v>1</v>
      </c>
      <c r="E4769" s="11" t="s">
        <v>4</v>
      </c>
      <c r="F4769" s="12">
        <v>72100</v>
      </c>
      <c r="G4769" s="12">
        <v>72100</v>
      </c>
      <c r="H4769" s="11" t="str">
        <f t="shared" si="153"/>
        <v>平成7年3月31日</v>
      </c>
      <c r="I4769" s="22">
        <f t="shared" si="154"/>
        <v>34789</v>
      </c>
      <c r="J4769" s="1" t="str">
        <f>"00745313"</f>
        <v>00745313</v>
      </c>
      <c r="K4769" s="1" t="str">
        <f>"３０８　　　　　　　　　　　　　　　　　"</f>
        <v>３０８　　　　　　　　　　　　　　　　　</v>
      </c>
      <c r="L4769" s="1"/>
    </row>
    <row r="4770" spans="1:12" ht="18" customHeight="1" x14ac:dyDescent="0.15">
      <c r="A4770" s="11">
        <v>4261</v>
      </c>
      <c r="B4770" s="11" t="s">
        <v>312</v>
      </c>
      <c r="C4770" s="11" t="s">
        <v>315</v>
      </c>
      <c r="D4770" s="11">
        <v>1</v>
      </c>
      <c r="E4770" s="11" t="s">
        <v>4</v>
      </c>
      <c r="F4770" s="12">
        <v>72100</v>
      </c>
      <c r="G4770" s="12">
        <v>72100</v>
      </c>
      <c r="H4770" s="11" t="str">
        <f t="shared" si="153"/>
        <v>平成7年3月31日</v>
      </c>
      <c r="I4770" s="22">
        <f t="shared" si="154"/>
        <v>34789</v>
      </c>
      <c r="J4770" s="1" t="str">
        <f>"00745315"</f>
        <v>00745315</v>
      </c>
      <c r="K4770" s="1" t="str">
        <f>"３０９　　　　　　　　　　　　　　　　　"</f>
        <v>３０９　　　　　　　　　　　　　　　　　</v>
      </c>
      <c r="L4770" s="1"/>
    </row>
    <row r="4771" spans="1:12" ht="18" customHeight="1" x14ac:dyDescent="0.15">
      <c r="A4771" s="11">
        <v>4262</v>
      </c>
      <c r="B4771" s="11" t="s">
        <v>312</v>
      </c>
      <c r="C4771" s="11" t="s">
        <v>316</v>
      </c>
      <c r="D4771" s="11">
        <v>1</v>
      </c>
      <c r="E4771" s="11" t="s">
        <v>4</v>
      </c>
      <c r="F4771" s="12">
        <v>154500</v>
      </c>
      <c r="G4771" s="12">
        <v>154500</v>
      </c>
      <c r="H4771" s="11" t="str">
        <f t="shared" si="153"/>
        <v>平成7年3月31日</v>
      </c>
      <c r="I4771" s="22">
        <f t="shared" si="154"/>
        <v>34789</v>
      </c>
      <c r="J4771" s="1" t="str">
        <f>"00745317"</f>
        <v>00745317</v>
      </c>
      <c r="K4771" s="1" t="str">
        <f>"３１０　　　　　　　　　　　　　　　　　"</f>
        <v>３１０　　　　　　　　　　　　　　　　　</v>
      </c>
      <c r="L4771" s="1"/>
    </row>
    <row r="4772" spans="1:12" ht="18" customHeight="1" x14ac:dyDescent="0.15">
      <c r="A4772" s="11">
        <v>4263</v>
      </c>
      <c r="B4772" s="11" t="s">
        <v>312</v>
      </c>
      <c r="C4772" s="11" t="s">
        <v>316</v>
      </c>
      <c r="D4772" s="11">
        <v>1</v>
      </c>
      <c r="E4772" s="11" t="s">
        <v>4</v>
      </c>
      <c r="F4772" s="12">
        <v>123600</v>
      </c>
      <c r="G4772" s="12">
        <v>123600</v>
      </c>
      <c r="H4772" s="11" t="str">
        <f t="shared" si="153"/>
        <v>平成7年3月31日</v>
      </c>
      <c r="I4772" s="22">
        <f t="shared" si="154"/>
        <v>34789</v>
      </c>
      <c r="J4772" s="1" t="str">
        <f>"00745319"</f>
        <v>00745319</v>
      </c>
      <c r="K4772" s="1" t="str">
        <f>"３１１　　　　　　　　　　　　　　　　　"</f>
        <v>３１１　　　　　　　　　　　　　　　　　</v>
      </c>
      <c r="L4772" s="1"/>
    </row>
    <row r="4773" spans="1:12" ht="18" customHeight="1" x14ac:dyDescent="0.15">
      <c r="A4773" s="11">
        <v>4264</v>
      </c>
      <c r="B4773" s="11" t="s">
        <v>312</v>
      </c>
      <c r="C4773" s="11" t="s">
        <v>316</v>
      </c>
      <c r="D4773" s="11">
        <v>1</v>
      </c>
      <c r="E4773" s="11" t="s">
        <v>4</v>
      </c>
      <c r="F4773" s="12">
        <v>113300</v>
      </c>
      <c r="G4773" s="12">
        <v>113300</v>
      </c>
      <c r="H4773" s="11" t="str">
        <f t="shared" si="153"/>
        <v>平成7年3月31日</v>
      </c>
      <c r="I4773" s="22">
        <f t="shared" si="154"/>
        <v>34789</v>
      </c>
      <c r="J4773" s="1" t="str">
        <f>"00745321"</f>
        <v>00745321</v>
      </c>
      <c r="K4773" s="1" t="str">
        <f>"３１２　　　　　　　　　　　　　　　　　"</f>
        <v>３１２　　　　　　　　　　　　　　　　　</v>
      </c>
      <c r="L4773" s="1"/>
    </row>
    <row r="4774" spans="1:12" ht="18" customHeight="1" x14ac:dyDescent="0.15">
      <c r="A4774" s="11">
        <v>4265</v>
      </c>
      <c r="B4774" s="11" t="s">
        <v>312</v>
      </c>
      <c r="C4774" s="11" t="s">
        <v>316</v>
      </c>
      <c r="D4774" s="11">
        <v>1</v>
      </c>
      <c r="E4774" s="11" t="s">
        <v>4</v>
      </c>
      <c r="F4774" s="12">
        <v>82400</v>
      </c>
      <c r="G4774" s="12">
        <v>82400</v>
      </c>
      <c r="H4774" s="11" t="str">
        <f t="shared" si="153"/>
        <v>平成7年3月31日</v>
      </c>
      <c r="I4774" s="22">
        <f t="shared" si="154"/>
        <v>34789</v>
      </c>
      <c r="J4774" s="1" t="str">
        <f>"00745323"</f>
        <v>00745323</v>
      </c>
      <c r="K4774" s="1" t="str">
        <f>"３１３　　　　　　　　　　　　　　　　　"</f>
        <v>３１３　　　　　　　　　　　　　　　　　</v>
      </c>
      <c r="L4774" s="1"/>
    </row>
    <row r="4775" spans="1:12" ht="18" customHeight="1" x14ac:dyDescent="0.15">
      <c r="A4775" s="11">
        <v>4266</v>
      </c>
      <c r="B4775" s="11" t="s">
        <v>312</v>
      </c>
      <c r="C4775" s="11" t="s">
        <v>316</v>
      </c>
      <c r="D4775" s="11">
        <v>1</v>
      </c>
      <c r="E4775" s="11" t="s">
        <v>4</v>
      </c>
      <c r="F4775" s="12">
        <v>61800</v>
      </c>
      <c r="G4775" s="12">
        <v>61800</v>
      </c>
      <c r="H4775" s="11" t="str">
        <f t="shared" si="153"/>
        <v>平成7年3月31日</v>
      </c>
      <c r="I4775" s="22">
        <f t="shared" si="154"/>
        <v>34789</v>
      </c>
      <c r="J4775" s="1" t="str">
        <f>"00745325"</f>
        <v>00745325</v>
      </c>
      <c r="K4775" s="1" t="str">
        <f>"３１４　　　　　　　　　　　　　　　　　"</f>
        <v>３１４　　　　　　　　　　　　　　　　　</v>
      </c>
      <c r="L4775" s="1"/>
    </row>
    <row r="4776" spans="1:12" ht="18" customHeight="1" x14ac:dyDescent="0.15">
      <c r="A4776" s="11">
        <v>4267</v>
      </c>
      <c r="B4776" s="11" t="s">
        <v>312</v>
      </c>
      <c r="C4776" s="11" t="s">
        <v>316</v>
      </c>
      <c r="D4776" s="11">
        <v>1</v>
      </c>
      <c r="E4776" s="11" t="s">
        <v>4</v>
      </c>
      <c r="F4776" s="12">
        <v>61800</v>
      </c>
      <c r="G4776" s="12">
        <v>61800</v>
      </c>
      <c r="H4776" s="11" t="str">
        <f t="shared" si="153"/>
        <v>平成7年3月31日</v>
      </c>
      <c r="I4776" s="22">
        <f t="shared" si="154"/>
        <v>34789</v>
      </c>
      <c r="J4776" s="1" t="str">
        <f>"00745327"</f>
        <v>00745327</v>
      </c>
      <c r="K4776" s="1" t="str">
        <f>"３１５　　　　　　　　　　　　　　　　　"</f>
        <v>３１５　　　　　　　　　　　　　　　　　</v>
      </c>
      <c r="L4776" s="1"/>
    </row>
    <row r="4777" spans="1:12" ht="18" customHeight="1" x14ac:dyDescent="0.15">
      <c r="A4777" s="11">
        <v>4339</v>
      </c>
      <c r="B4777" s="11" t="s">
        <v>343</v>
      </c>
      <c r="C4777" s="11" t="s">
        <v>347</v>
      </c>
      <c r="D4777" s="11">
        <v>1</v>
      </c>
      <c r="E4777" s="11" t="s">
        <v>4</v>
      </c>
      <c r="F4777" s="12">
        <v>38831</v>
      </c>
      <c r="G4777" s="12">
        <v>38831</v>
      </c>
      <c r="H4777" s="11" t="str">
        <f t="shared" si="153"/>
        <v>平成7年3月31日</v>
      </c>
      <c r="I4777" s="22">
        <f t="shared" si="154"/>
        <v>34789</v>
      </c>
      <c r="J4777" s="1" t="str">
        <f>"00745553"</f>
        <v>00745553</v>
      </c>
      <c r="K4777" s="1" t="str">
        <f>"３０５　　　　　　　　　　　　　　　　　"</f>
        <v>３０５　　　　　　　　　　　　　　　　　</v>
      </c>
      <c r="L4777" s="1"/>
    </row>
    <row r="4778" spans="1:12" ht="18" customHeight="1" x14ac:dyDescent="0.15">
      <c r="A4778" s="11">
        <v>4340</v>
      </c>
      <c r="B4778" s="11" t="s">
        <v>343</v>
      </c>
      <c r="C4778" s="11" t="s">
        <v>347</v>
      </c>
      <c r="D4778" s="11">
        <v>1</v>
      </c>
      <c r="E4778" s="11" t="s">
        <v>4</v>
      </c>
      <c r="F4778" s="12">
        <v>38831</v>
      </c>
      <c r="G4778" s="12">
        <v>38831</v>
      </c>
      <c r="H4778" s="11" t="str">
        <f t="shared" si="153"/>
        <v>平成7年3月31日</v>
      </c>
      <c r="I4778" s="22">
        <f t="shared" si="154"/>
        <v>34789</v>
      </c>
      <c r="J4778" s="1" t="str">
        <f>"00745555"</f>
        <v>00745555</v>
      </c>
      <c r="K4778" s="1" t="str">
        <f>"３０６　　　　　　　　　　　　　　　　　"</f>
        <v>３０６　　　　　　　　　　　　　　　　　</v>
      </c>
      <c r="L4778" s="1"/>
    </row>
    <row r="4779" spans="1:12" ht="18" customHeight="1" x14ac:dyDescent="0.15">
      <c r="A4779" s="11">
        <v>4341</v>
      </c>
      <c r="B4779" s="11" t="s">
        <v>343</v>
      </c>
      <c r="C4779" s="11" t="s">
        <v>347</v>
      </c>
      <c r="D4779" s="11">
        <v>1</v>
      </c>
      <c r="E4779" s="11" t="s">
        <v>4</v>
      </c>
      <c r="F4779" s="12">
        <v>38831</v>
      </c>
      <c r="G4779" s="12">
        <v>38831</v>
      </c>
      <c r="H4779" s="11" t="str">
        <f t="shared" si="153"/>
        <v>平成7年3月31日</v>
      </c>
      <c r="I4779" s="22">
        <f t="shared" si="154"/>
        <v>34789</v>
      </c>
      <c r="J4779" s="1" t="str">
        <f>"00745557"</f>
        <v>00745557</v>
      </c>
      <c r="K4779" s="1" t="str">
        <f>"３０７　　　　　　　　　　　　　　　　　"</f>
        <v>３０７　　　　　　　　　　　　　　　　　</v>
      </c>
      <c r="L4779" s="1"/>
    </row>
    <row r="4780" spans="1:12" ht="18" customHeight="1" x14ac:dyDescent="0.15">
      <c r="A4780" s="11">
        <v>4342</v>
      </c>
      <c r="B4780" s="11" t="s">
        <v>343</v>
      </c>
      <c r="C4780" s="11" t="s">
        <v>347</v>
      </c>
      <c r="D4780" s="11">
        <v>1</v>
      </c>
      <c r="E4780" s="11" t="s">
        <v>4</v>
      </c>
      <c r="F4780" s="12">
        <v>38831</v>
      </c>
      <c r="G4780" s="12">
        <v>38831</v>
      </c>
      <c r="H4780" s="11" t="str">
        <f t="shared" si="153"/>
        <v>平成7年3月31日</v>
      </c>
      <c r="I4780" s="22">
        <f t="shared" si="154"/>
        <v>34789</v>
      </c>
      <c r="J4780" s="1" t="str">
        <f>"00745559"</f>
        <v>00745559</v>
      </c>
      <c r="K4780" s="1" t="str">
        <f>"３０８　　　　　　　　　　　　　　　　　"</f>
        <v>３０８　　　　　　　　　　　　　　　　　</v>
      </c>
      <c r="L4780" s="1"/>
    </row>
    <row r="4781" spans="1:12" ht="18" customHeight="1" x14ac:dyDescent="0.15">
      <c r="A4781" s="11">
        <v>4343</v>
      </c>
      <c r="B4781" s="11" t="s">
        <v>343</v>
      </c>
      <c r="C4781" s="11" t="s">
        <v>347</v>
      </c>
      <c r="D4781" s="11">
        <v>1</v>
      </c>
      <c r="E4781" s="11" t="s">
        <v>4</v>
      </c>
      <c r="F4781" s="12">
        <v>38831</v>
      </c>
      <c r="G4781" s="12">
        <v>38831</v>
      </c>
      <c r="H4781" s="11" t="str">
        <f t="shared" si="153"/>
        <v>平成7年3月31日</v>
      </c>
      <c r="I4781" s="22">
        <f t="shared" si="154"/>
        <v>34789</v>
      </c>
      <c r="J4781" s="1" t="str">
        <f>"00745561"</f>
        <v>00745561</v>
      </c>
      <c r="K4781" s="1" t="str">
        <f>"３０９　　　　　　　　　　　　　　　　　"</f>
        <v>３０９　　　　　　　　　　　　　　　　　</v>
      </c>
      <c r="L4781" s="1"/>
    </row>
    <row r="4782" spans="1:12" ht="18" customHeight="1" x14ac:dyDescent="0.15">
      <c r="A4782" s="11">
        <v>4344</v>
      </c>
      <c r="B4782" s="11" t="s">
        <v>343</v>
      </c>
      <c r="C4782" s="11" t="s">
        <v>347</v>
      </c>
      <c r="D4782" s="11">
        <v>1</v>
      </c>
      <c r="E4782" s="11" t="s">
        <v>4</v>
      </c>
      <c r="F4782" s="12">
        <v>38831</v>
      </c>
      <c r="G4782" s="12">
        <v>38831</v>
      </c>
      <c r="H4782" s="11" t="str">
        <f t="shared" si="153"/>
        <v>平成7年3月31日</v>
      </c>
      <c r="I4782" s="22">
        <f t="shared" si="154"/>
        <v>34789</v>
      </c>
      <c r="J4782" s="1" t="str">
        <f>"00745563"</f>
        <v>00745563</v>
      </c>
      <c r="K4782" s="1" t="str">
        <f>"３１０　　　　　　　　　　　　　　　　　"</f>
        <v>３１０　　　　　　　　　　　　　　　　　</v>
      </c>
      <c r="L4782" s="1"/>
    </row>
    <row r="4783" spans="1:12" ht="18" customHeight="1" x14ac:dyDescent="0.15">
      <c r="A4783" s="11">
        <v>4345</v>
      </c>
      <c r="B4783" s="11" t="s">
        <v>343</v>
      </c>
      <c r="C4783" s="11" t="s">
        <v>347</v>
      </c>
      <c r="D4783" s="11">
        <v>1</v>
      </c>
      <c r="E4783" s="11" t="s">
        <v>4</v>
      </c>
      <c r="F4783" s="12">
        <v>38831</v>
      </c>
      <c r="G4783" s="12">
        <v>38831</v>
      </c>
      <c r="H4783" s="11" t="str">
        <f t="shared" si="153"/>
        <v>平成7年3月31日</v>
      </c>
      <c r="I4783" s="22">
        <f t="shared" si="154"/>
        <v>34789</v>
      </c>
      <c r="J4783" s="1" t="str">
        <f>"00745565"</f>
        <v>00745565</v>
      </c>
      <c r="K4783" s="1" t="str">
        <f>"３１１　　　　　　　　　　　　　　　　　"</f>
        <v>３１１　　　　　　　　　　　　　　　　　</v>
      </c>
      <c r="L4783" s="1"/>
    </row>
    <row r="4784" spans="1:12" ht="18" customHeight="1" x14ac:dyDescent="0.15">
      <c r="A4784" s="11">
        <v>4346</v>
      </c>
      <c r="B4784" s="11" t="s">
        <v>343</v>
      </c>
      <c r="C4784" s="11" t="s">
        <v>347</v>
      </c>
      <c r="D4784" s="11">
        <v>1</v>
      </c>
      <c r="E4784" s="11" t="s">
        <v>4</v>
      </c>
      <c r="F4784" s="12">
        <v>38831</v>
      </c>
      <c r="G4784" s="12">
        <v>38831</v>
      </c>
      <c r="H4784" s="11" t="str">
        <f t="shared" si="153"/>
        <v>平成7年3月31日</v>
      </c>
      <c r="I4784" s="22">
        <f t="shared" si="154"/>
        <v>34789</v>
      </c>
      <c r="J4784" s="1" t="str">
        <f>"00745567"</f>
        <v>00745567</v>
      </c>
      <c r="K4784" s="1" t="str">
        <f>"３１２　　　　　　　　　　　　　　　　　"</f>
        <v>３１２　　　　　　　　　　　　　　　　　</v>
      </c>
      <c r="L4784" s="1"/>
    </row>
    <row r="4785" spans="1:12" ht="18" customHeight="1" x14ac:dyDescent="0.15">
      <c r="A4785" s="11">
        <v>4347</v>
      </c>
      <c r="B4785" s="11" t="s">
        <v>343</v>
      </c>
      <c r="C4785" s="11" t="s">
        <v>347</v>
      </c>
      <c r="D4785" s="11">
        <v>1</v>
      </c>
      <c r="E4785" s="11" t="s">
        <v>4</v>
      </c>
      <c r="F4785" s="12">
        <v>38831</v>
      </c>
      <c r="G4785" s="12">
        <v>38831</v>
      </c>
      <c r="H4785" s="11" t="str">
        <f t="shared" si="153"/>
        <v>平成7年3月31日</v>
      </c>
      <c r="I4785" s="22">
        <f t="shared" si="154"/>
        <v>34789</v>
      </c>
      <c r="J4785" s="1" t="str">
        <f>"00745569"</f>
        <v>00745569</v>
      </c>
      <c r="K4785" s="1" t="str">
        <f>"３１３　　　　　　　　　　　　　　　　　"</f>
        <v>３１３　　　　　　　　　　　　　　　　　</v>
      </c>
      <c r="L4785" s="1"/>
    </row>
    <row r="4786" spans="1:12" ht="18" customHeight="1" x14ac:dyDescent="0.15">
      <c r="A4786" s="11">
        <v>4348</v>
      </c>
      <c r="B4786" s="11" t="s">
        <v>343</v>
      </c>
      <c r="C4786" s="11" t="s">
        <v>347</v>
      </c>
      <c r="D4786" s="11">
        <v>1</v>
      </c>
      <c r="E4786" s="11" t="s">
        <v>4</v>
      </c>
      <c r="F4786" s="12">
        <v>38831</v>
      </c>
      <c r="G4786" s="12">
        <v>38831</v>
      </c>
      <c r="H4786" s="11" t="str">
        <f t="shared" si="153"/>
        <v>平成7年3月31日</v>
      </c>
      <c r="I4786" s="22">
        <f t="shared" si="154"/>
        <v>34789</v>
      </c>
      <c r="J4786" s="1" t="str">
        <f>"00745571"</f>
        <v>00745571</v>
      </c>
      <c r="K4786" s="1" t="str">
        <f>"３１４　　　　　　　　　　　　　　　　　"</f>
        <v>３１４　　　　　　　　　　　　　　　　　</v>
      </c>
      <c r="L4786" s="1"/>
    </row>
    <row r="4787" spans="1:12" ht="18" customHeight="1" x14ac:dyDescent="0.15">
      <c r="A4787" s="11">
        <v>4349</v>
      </c>
      <c r="B4787" s="11" t="s">
        <v>343</v>
      </c>
      <c r="C4787" s="11" t="s">
        <v>347</v>
      </c>
      <c r="D4787" s="11">
        <v>1</v>
      </c>
      <c r="E4787" s="11" t="s">
        <v>4</v>
      </c>
      <c r="F4787" s="12">
        <v>38831</v>
      </c>
      <c r="G4787" s="12">
        <v>38831</v>
      </c>
      <c r="H4787" s="11" t="str">
        <f t="shared" si="153"/>
        <v>平成7年3月31日</v>
      </c>
      <c r="I4787" s="22">
        <f t="shared" si="154"/>
        <v>34789</v>
      </c>
      <c r="J4787" s="1" t="str">
        <f>"00745573"</f>
        <v>00745573</v>
      </c>
      <c r="K4787" s="1" t="str">
        <f>"３１５　　　　　　　　　　　　　　　　　"</f>
        <v>３１５　　　　　　　　　　　　　　　　　</v>
      </c>
      <c r="L4787" s="1"/>
    </row>
    <row r="4788" spans="1:12" ht="18" customHeight="1" x14ac:dyDescent="0.15">
      <c r="A4788" s="11">
        <v>4350</v>
      </c>
      <c r="B4788" s="11" t="s">
        <v>343</v>
      </c>
      <c r="C4788" s="11" t="s">
        <v>347</v>
      </c>
      <c r="D4788" s="11">
        <v>1</v>
      </c>
      <c r="E4788" s="11" t="s">
        <v>4</v>
      </c>
      <c r="F4788" s="12">
        <v>38831</v>
      </c>
      <c r="G4788" s="12">
        <v>38831</v>
      </c>
      <c r="H4788" s="11" t="str">
        <f t="shared" si="153"/>
        <v>平成7年3月31日</v>
      </c>
      <c r="I4788" s="22">
        <f t="shared" si="154"/>
        <v>34789</v>
      </c>
      <c r="J4788" s="1" t="str">
        <f>"00745575"</f>
        <v>00745575</v>
      </c>
      <c r="K4788" s="1" t="str">
        <f>"３１６　　　　　　　　　　　　　　　　　"</f>
        <v>３１６　　　　　　　　　　　　　　　　　</v>
      </c>
      <c r="L4788" s="1"/>
    </row>
    <row r="4789" spans="1:12" ht="18" customHeight="1" x14ac:dyDescent="0.15">
      <c r="A4789" s="11">
        <v>4351</v>
      </c>
      <c r="B4789" s="11" t="s">
        <v>348</v>
      </c>
      <c r="C4789" s="11" t="s">
        <v>349</v>
      </c>
      <c r="D4789" s="11">
        <v>1</v>
      </c>
      <c r="E4789" s="11" t="s">
        <v>17</v>
      </c>
      <c r="F4789" s="12">
        <v>24720</v>
      </c>
      <c r="G4789" s="12">
        <v>24720</v>
      </c>
      <c r="H4789" s="11" t="str">
        <f t="shared" si="153"/>
        <v>平成7年3月31日</v>
      </c>
      <c r="I4789" s="22">
        <f t="shared" si="154"/>
        <v>34789</v>
      </c>
      <c r="J4789" s="1" t="str">
        <f>"00745581"</f>
        <v>00745581</v>
      </c>
      <c r="K4789" s="1" t="str">
        <f>"３０４　　　　　　　　　　　　　　　　　"</f>
        <v>３０４　　　　　　　　　　　　　　　　　</v>
      </c>
      <c r="L4789" s="1"/>
    </row>
    <row r="4790" spans="1:12" ht="18" customHeight="1" x14ac:dyDescent="0.15">
      <c r="A4790" s="11">
        <v>4352</v>
      </c>
      <c r="B4790" s="11" t="s">
        <v>348</v>
      </c>
      <c r="C4790" s="11" t="s">
        <v>349</v>
      </c>
      <c r="D4790" s="11">
        <v>1</v>
      </c>
      <c r="E4790" s="11" t="s">
        <v>17</v>
      </c>
      <c r="F4790" s="12">
        <v>24720</v>
      </c>
      <c r="G4790" s="12">
        <v>24720</v>
      </c>
      <c r="H4790" s="11" t="str">
        <f t="shared" si="153"/>
        <v>平成7年3月31日</v>
      </c>
      <c r="I4790" s="22">
        <f t="shared" si="154"/>
        <v>34789</v>
      </c>
      <c r="J4790" s="1" t="str">
        <f>"00745583"</f>
        <v>00745583</v>
      </c>
      <c r="K4790" s="1" t="str">
        <f>"３０５　　　　　　　　　　　　　　　　　"</f>
        <v>３０５　　　　　　　　　　　　　　　　　</v>
      </c>
      <c r="L4790" s="1"/>
    </row>
    <row r="4791" spans="1:12" s="40" customFormat="1" ht="18" customHeight="1" x14ac:dyDescent="0.15">
      <c r="A4791" s="25">
        <v>4481</v>
      </c>
      <c r="B4791" s="25" t="s">
        <v>360</v>
      </c>
      <c r="C4791" s="25" t="s">
        <v>363</v>
      </c>
      <c r="D4791" s="25">
        <v>1</v>
      </c>
      <c r="E4791" s="25" t="s">
        <v>21</v>
      </c>
      <c r="F4791" s="38">
        <v>77250</v>
      </c>
      <c r="G4791" s="38" t="s">
        <v>668</v>
      </c>
      <c r="H4791" s="25" t="str">
        <f t="shared" si="153"/>
        <v>平成7年3月31日</v>
      </c>
      <c r="I4791" s="39">
        <f t="shared" si="154"/>
        <v>34789</v>
      </c>
      <c r="J4791" s="25" t="str">
        <f>"00745869"</f>
        <v>00745869</v>
      </c>
      <c r="K4791" s="25" t="str">
        <f>"３２１　　　　　　　　　　　　　　　　　"</f>
        <v>３２１　　　　　　　　　　　　　　　　　</v>
      </c>
      <c r="L4791" s="25"/>
    </row>
    <row r="4792" spans="1:12" s="40" customFormat="1" ht="18" customHeight="1" x14ac:dyDescent="0.15">
      <c r="A4792" s="25">
        <v>4482</v>
      </c>
      <c r="B4792" s="25" t="s">
        <v>360</v>
      </c>
      <c r="C4792" s="25" t="s">
        <v>363</v>
      </c>
      <c r="D4792" s="25">
        <v>1</v>
      </c>
      <c r="E4792" s="25" t="s">
        <v>21</v>
      </c>
      <c r="F4792" s="38">
        <v>77250</v>
      </c>
      <c r="G4792" s="38" t="s">
        <v>668</v>
      </c>
      <c r="H4792" s="25" t="str">
        <f t="shared" si="153"/>
        <v>平成7年3月31日</v>
      </c>
      <c r="I4792" s="39">
        <f t="shared" si="154"/>
        <v>34789</v>
      </c>
      <c r="J4792" s="25" t="str">
        <f>"00745871"</f>
        <v>00745871</v>
      </c>
      <c r="K4792" s="25" t="str">
        <f>"３２２　　　　　　　　　　　　　　　　　"</f>
        <v>３２２　　　　　　　　　　　　　　　　　</v>
      </c>
      <c r="L4792" s="25"/>
    </row>
    <row r="4793" spans="1:12" s="40" customFormat="1" ht="18" customHeight="1" x14ac:dyDescent="0.15">
      <c r="A4793" s="25">
        <v>4483</v>
      </c>
      <c r="B4793" s="25" t="s">
        <v>360</v>
      </c>
      <c r="C4793" s="25" t="s">
        <v>363</v>
      </c>
      <c r="D4793" s="25">
        <v>1</v>
      </c>
      <c r="E4793" s="25" t="s">
        <v>21</v>
      </c>
      <c r="F4793" s="38">
        <v>77250</v>
      </c>
      <c r="G4793" s="38" t="s">
        <v>668</v>
      </c>
      <c r="H4793" s="25" t="str">
        <f t="shared" si="153"/>
        <v>平成7年3月31日</v>
      </c>
      <c r="I4793" s="39">
        <f t="shared" si="154"/>
        <v>34789</v>
      </c>
      <c r="J4793" s="25" t="str">
        <f>"00745873"</f>
        <v>00745873</v>
      </c>
      <c r="K4793" s="25" t="str">
        <f>"３２３　　　　　　　　　　　　　　　　　"</f>
        <v>３２３　　　　　　　　　　　　　　　　　</v>
      </c>
      <c r="L4793" s="25"/>
    </row>
    <row r="4794" spans="1:12" s="40" customFormat="1" ht="18" customHeight="1" x14ac:dyDescent="0.15">
      <c r="A4794" s="25">
        <v>4484</v>
      </c>
      <c r="B4794" s="25" t="s">
        <v>360</v>
      </c>
      <c r="C4794" s="25" t="s">
        <v>363</v>
      </c>
      <c r="D4794" s="25">
        <v>1</v>
      </c>
      <c r="E4794" s="25" t="s">
        <v>21</v>
      </c>
      <c r="F4794" s="38">
        <v>77250</v>
      </c>
      <c r="G4794" s="38" t="s">
        <v>668</v>
      </c>
      <c r="H4794" s="25" t="str">
        <f t="shared" si="153"/>
        <v>平成7年3月31日</v>
      </c>
      <c r="I4794" s="39">
        <f t="shared" si="154"/>
        <v>34789</v>
      </c>
      <c r="J4794" s="25" t="str">
        <f>"00745875"</f>
        <v>00745875</v>
      </c>
      <c r="K4794" s="25" t="str">
        <f>"３２４　　　　　　　　　　　　　　　　　"</f>
        <v>３２４　　　　　　　　　　　　　　　　　</v>
      </c>
      <c r="L4794" s="25"/>
    </row>
    <row r="4795" spans="1:12" s="40" customFormat="1" ht="18" customHeight="1" x14ac:dyDescent="0.15">
      <c r="A4795" s="25">
        <v>4485</v>
      </c>
      <c r="B4795" s="25" t="s">
        <v>360</v>
      </c>
      <c r="C4795" s="25" t="s">
        <v>363</v>
      </c>
      <c r="D4795" s="25">
        <v>1</v>
      </c>
      <c r="E4795" s="25" t="s">
        <v>21</v>
      </c>
      <c r="F4795" s="38">
        <v>77250</v>
      </c>
      <c r="G4795" s="38" t="s">
        <v>668</v>
      </c>
      <c r="H4795" s="25" t="str">
        <f t="shared" si="153"/>
        <v>平成7年3月31日</v>
      </c>
      <c r="I4795" s="39">
        <f t="shared" si="154"/>
        <v>34789</v>
      </c>
      <c r="J4795" s="25" t="str">
        <f>"00745877"</f>
        <v>00745877</v>
      </c>
      <c r="K4795" s="25" t="str">
        <f>"３２５　　　　　　　　　　　　　　　　　"</f>
        <v>３２５　　　　　　　　　　　　　　　　　</v>
      </c>
      <c r="L4795" s="25"/>
    </row>
    <row r="4796" spans="1:12" s="40" customFormat="1" ht="18" customHeight="1" x14ac:dyDescent="0.15">
      <c r="A4796" s="25">
        <v>4486</v>
      </c>
      <c r="B4796" s="25" t="s">
        <v>360</v>
      </c>
      <c r="C4796" s="25" t="s">
        <v>363</v>
      </c>
      <c r="D4796" s="25">
        <v>1</v>
      </c>
      <c r="E4796" s="25" t="s">
        <v>21</v>
      </c>
      <c r="F4796" s="38">
        <v>77250</v>
      </c>
      <c r="G4796" s="38" t="s">
        <v>668</v>
      </c>
      <c r="H4796" s="25" t="str">
        <f t="shared" si="153"/>
        <v>平成7年3月31日</v>
      </c>
      <c r="I4796" s="39">
        <f t="shared" si="154"/>
        <v>34789</v>
      </c>
      <c r="J4796" s="25" t="str">
        <f>"00745879"</f>
        <v>00745879</v>
      </c>
      <c r="K4796" s="25" t="str">
        <f>"３２６　　　　　　　　　　　　　　　　　"</f>
        <v>３２６　　　　　　　　　　　　　　　　　</v>
      </c>
      <c r="L4796" s="25"/>
    </row>
    <row r="4797" spans="1:12" s="40" customFormat="1" ht="18" customHeight="1" x14ac:dyDescent="0.15">
      <c r="A4797" s="25">
        <v>4487</v>
      </c>
      <c r="B4797" s="25" t="s">
        <v>360</v>
      </c>
      <c r="C4797" s="25" t="s">
        <v>363</v>
      </c>
      <c r="D4797" s="25">
        <v>1</v>
      </c>
      <c r="E4797" s="25" t="s">
        <v>21</v>
      </c>
      <c r="F4797" s="38">
        <v>77250</v>
      </c>
      <c r="G4797" s="38" t="s">
        <v>668</v>
      </c>
      <c r="H4797" s="25" t="str">
        <f t="shared" si="153"/>
        <v>平成7年3月31日</v>
      </c>
      <c r="I4797" s="39">
        <f t="shared" si="154"/>
        <v>34789</v>
      </c>
      <c r="J4797" s="25" t="str">
        <f>"00745881"</f>
        <v>00745881</v>
      </c>
      <c r="K4797" s="25" t="str">
        <f>"３２７　　　　　　　　　　　　　　　　　"</f>
        <v>３２７　　　　　　　　　　　　　　　　　</v>
      </c>
      <c r="L4797" s="25"/>
    </row>
    <row r="4798" spans="1:12" s="40" customFormat="1" ht="18" customHeight="1" x14ac:dyDescent="0.15">
      <c r="A4798" s="25">
        <v>4488</v>
      </c>
      <c r="B4798" s="25" t="s">
        <v>360</v>
      </c>
      <c r="C4798" s="25" t="s">
        <v>363</v>
      </c>
      <c r="D4798" s="25">
        <v>1</v>
      </c>
      <c r="E4798" s="25" t="s">
        <v>21</v>
      </c>
      <c r="F4798" s="38">
        <v>77250</v>
      </c>
      <c r="G4798" s="38" t="s">
        <v>668</v>
      </c>
      <c r="H4798" s="25" t="str">
        <f t="shared" si="153"/>
        <v>平成7年3月31日</v>
      </c>
      <c r="I4798" s="39">
        <f t="shared" si="154"/>
        <v>34789</v>
      </c>
      <c r="J4798" s="25" t="str">
        <f>"00745883"</f>
        <v>00745883</v>
      </c>
      <c r="K4798" s="25" t="str">
        <f>"３２８　　　　　　　　　　　　　　　　　"</f>
        <v>３２８　　　　　　　　　　　　　　　　　</v>
      </c>
      <c r="L4798" s="25"/>
    </row>
    <row r="4799" spans="1:12" s="40" customFormat="1" ht="18" customHeight="1" x14ac:dyDescent="0.15">
      <c r="A4799" s="25">
        <v>4489</v>
      </c>
      <c r="B4799" s="25" t="s">
        <v>360</v>
      </c>
      <c r="C4799" s="25" t="s">
        <v>363</v>
      </c>
      <c r="D4799" s="25">
        <v>1</v>
      </c>
      <c r="E4799" s="25" t="s">
        <v>21</v>
      </c>
      <c r="F4799" s="38">
        <v>77250</v>
      </c>
      <c r="G4799" s="38" t="s">
        <v>668</v>
      </c>
      <c r="H4799" s="25" t="str">
        <f t="shared" si="153"/>
        <v>平成7年3月31日</v>
      </c>
      <c r="I4799" s="39">
        <f t="shared" si="154"/>
        <v>34789</v>
      </c>
      <c r="J4799" s="25" t="str">
        <f>"00745885"</f>
        <v>00745885</v>
      </c>
      <c r="K4799" s="25" t="str">
        <f>"３２９　　　　　　　　　　　　　　　　　"</f>
        <v>３２９　　　　　　　　　　　　　　　　　</v>
      </c>
      <c r="L4799" s="25"/>
    </row>
    <row r="4800" spans="1:12" s="40" customFormat="1" ht="18" customHeight="1" x14ac:dyDescent="0.15">
      <c r="A4800" s="25">
        <v>4490</v>
      </c>
      <c r="B4800" s="25" t="s">
        <v>360</v>
      </c>
      <c r="C4800" s="25" t="s">
        <v>363</v>
      </c>
      <c r="D4800" s="25">
        <v>1</v>
      </c>
      <c r="E4800" s="25" t="s">
        <v>21</v>
      </c>
      <c r="F4800" s="38">
        <v>77250</v>
      </c>
      <c r="G4800" s="38" t="s">
        <v>668</v>
      </c>
      <c r="H4800" s="25" t="str">
        <f t="shared" si="153"/>
        <v>平成7年3月31日</v>
      </c>
      <c r="I4800" s="39">
        <f t="shared" si="154"/>
        <v>34789</v>
      </c>
      <c r="J4800" s="25" t="str">
        <f>"00745887"</f>
        <v>00745887</v>
      </c>
      <c r="K4800" s="25" t="str">
        <f>"３３０　　　　　　　　　　　　　　　　　"</f>
        <v>３３０　　　　　　　　　　　　　　　　　</v>
      </c>
      <c r="L4800" s="25"/>
    </row>
    <row r="4801" spans="1:12" s="40" customFormat="1" ht="18" customHeight="1" x14ac:dyDescent="0.15">
      <c r="A4801" s="25">
        <v>4658</v>
      </c>
      <c r="B4801" s="25" t="s">
        <v>408</v>
      </c>
      <c r="C4801" s="25" t="s">
        <v>409</v>
      </c>
      <c r="D4801" s="25">
        <v>1</v>
      </c>
      <c r="E4801" s="25" t="s">
        <v>9</v>
      </c>
      <c r="F4801" s="38">
        <v>21424</v>
      </c>
      <c r="G4801" s="38" t="s">
        <v>668</v>
      </c>
      <c r="H4801" s="25" t="str">
        <f t="shared" si="153"/>
        <v>平成7年3月31日</v>
      </c>
      <c r="I4801" s="39">
        <f t="shared" si="154"/>
        <v>34789</v>
      </c>
      <c r="J4801" s="25" t="str">
        <f>"00746259"</f>
        <v>00746259</v>
      </c>
      <c r="K4801" s="25" t="str">
        <f>"３６１　　　　　　　　　　　　　　　　　"</f>
        <v>３６１　　　　　　　　　　　　　　　　　</v>
      </c>
      <c r="L4801" s="25"/>
    </row>
    <row r="4802" spans="1:12" s="40" customFormat="1" ht="18" customHeight="1" x14ac:dyDescent="0.15">
      <c r="A4802" s="25">
        <v>4659</v>
      </c>
      <c r="B4802" s="25" t="s">
        <v>408</v>
      </c>
      <c r="C4802" s="25" t="s">
        <v>409</v>
      </c>
      <c r="D4802" s="25">
        <v>1</v>
      </c>
      <c r="E4802" s="25" t="s">
        <v>9</v>
      </c>
      <c r="F4802" s="38">
        <v>21424</v>
      </c>
      <c r="G4802" s="38" t="s">
        <v>668</v>
      </c>
      <c r="H4802" s="25" t="str">
        <f t="shared" ref="H4802:H4841" si="155">"平成7年3月31日"</f>
        <v>平成7年3月31日</v>
      </c>
      <c r="I4802" s="39">
        <f t="shared" si="154"/>
        <v>34789</v>
      </c>
      <c r="J4802" s="25" t="str">
        <f>"00746261"</f>
        <v>00746261</v>
      </c>
      <c r="K4802" s="25" t="str">
        <f>"３６２　　　　　　　　　　　　　　　　　"</f>
        <v>３６２　　　　　　　　　　　　　　　　　</v>
      </c>
      <c r="L4802" s="25"/>
    </row>
    <row r="4803" spans="1:12" s="40" customFormat="1" ht="18" customHeight="1" x14ac:dyDescent="0.15">
      <c r="A4803" s="25">
        <v>4660</v>
      </c>
      <c r="B4803" s="25" t="s">
        <v>408</v>
      </c>
      <c r="C4803" s="25" t="s">
        <v>410</v>
      </c>
      <c r="D4803" s="25">
        <v>1</v>
      </c>
      <c r="E4803" s="25" t="s">
        <v>9</v>
      </c>
      <c r="F4803" s="38">
        <v>21630</v>
      </c>
      <c r="G4803" s="38" t="s">
        <v>668</v>
      </c>
      <c r="H4803" s="25" t="str">
        <f t="shared" si="155"/>
        <v>平成7年3月31日</v>
      </c>
      <c r="I4803" s="39">
        <f t="shared" si="154"/>
        <v>34789</v>
      </c>
      <c r="J4803" s="25" t="str">
        <f>"00746263"</f>
        <v>00746263</v>
      </c>
      <c r="K4803" s="25" t="str">
        <f>"３６３　　　　　　　　　　　　　　　　　"</f>
        <v>３６３　　　　　　　　　　　　　　　　　</v>
      </c>
      <c r="L4803" s="25"/>
    </row>
    <row r="4804" spans="1:12" s="40" customFormat="1" ht="18" customHeight="1" x14ac:dyDescent="0.15">
      <c r="A4804" s="25">
        <v>4661</v>
      </c>
      <c r="B4804" s="25" t="s">
        <v>408</v>
      </c>
      <c r="C4804" s="25" t="s">
        <v>410</v>
      </c>
      <c r="D4804" s="25">
        <v>1</v>
      </c>
      <c r="E4804" s="25" t="s">
        <v>9</v>
      </c>
      <c r="F4804" s="38">
        <v>21630</v>
      </c>
      <c r="G4804" s="38" t="s">
        <v>668</v>
      </c>
      <c r="H4804" s="25" t="str">
        <f t="shared" si="155"/>
        <v>平成7年3月31日</v>
      </c>
      <c r="I4804" s="39">
        <f t="shared" si="154"/>
        <v>34789</v>
      </c>
      <c r="J4804" s="25" t="str">
        <f>"00746265"</f>
        <v>00746265</v>
      </c>
      <c r="K4804" s="25" t="str">
        <f>"３６４　　　　　　　　　　　　　　　　　"</f>
        <v>３６４　　　　　　　　　　　　　　　　　</v>
      </c>
      <c r="L4804" s="25"/>
    </row>
    <row r="4805" spans="1:12" s="40" customFormat="1" ht="18" customHeight="1" x14ac:dyDescent="0.15">
      <c r="A4805" s="25">
        <v>4662</v>
      </c>
      <c r="B4805" s="25" t="s">
        <v>408</v>
      </c>
      <c r="C4805" s="25" t="s">
        <v>410</v>
      </c>
      <c r="D4805" s="25">
        <v>1</v>
      </c>
      <c r="E4805" s="25" t="s">
        <v>9</v>
      </c>
      <c r="F4805" s="38">
        <v>21630</v>
      </c>
      <c r="G4805" s="38" t="s">
        <v>668</v>
      </c>
      <c r="H4805" s="25" t="str">
        <f t="shared" si="155"/>
        <v>平成7年3月31日</v>
      </c>
      <c r="I4805" s="39">
        <f t="shared" si="154"/>
        <v>34789</v>
      </c>
      <c r="J4805" s="25" t="str">
        <f>"00746267"</f>
        <v>00746267</v>
      </c>
      <c r="K4805" s="25" t="str">
        <f>"３６５　　　　　　　　　　　　　　　　　"</f>
        <v>３６５　　　　　　　　　　　　　　　　　</v>
      </c>
      <c r="L4805" s="25"/>
    </row>
    <row r="4806" spans="1:12" s="40" customFormat="1" ht="18" customHeight="1" x14ac:dyDescent="0.15">
      <c r="A4806" s="25">
        <v>4663</v>
      </c>
      <c r="B4806" s="25" t="s">
        <v>408</v>
      </c>
      <c r="C4806" s="25" t="s">
        <v>411</v>
      </c>
      <c r="D4806" s="25">
        <v>1</v>
      </c>
      <c r="E4806" s="25" t="s">
        <v>9</v>
      </c>
      <c r="F4806" s="38">
        <v>21630</v>
      </c>
      <c r="G4806" s="38" t="s">
        <v>668</v>
      </c>
      <c r="H4806" s="25" t="str">
        <f t="shared" si="155"/>
        <v>平成7年3月31日</v>
      </c>
      <c r="I4806" s="39">
        <f t="shared" si="154"/>
        <v>34789</v>
      </c>
      <c r="J4806" s="25" t="str">
        <f>"00746269"</f>
        <v>00746269</v>
      </c>
      <c r="K4806" s="25" t="str">
        <f>"３６６　　　　　　　　　　　　　　　　　"</f>
        <v>３６６　　　　　　　　　　　　　　　　　</v>
      </c>
      <c r="L4806" s="25"/>
    </row>
    <row r="4807" spans="1:12" s="40" customFormat="1" ht="18" customHeight="1" x14ac:dyDescent="0.15">
      <c r="A4807" s="25">
        <v>4664</v>
      </c>
      <c r="B4807" s="25" t="s">
        <v>408</v>
      </c>
      <c r="C4807" s="25" t="s">
        <v>411</v>
      </c>
      <c r="D4807" s="25">
        <v>1</v>
      </c>
      <c r="E4807" s="25" t="s">
        <v>9</v>
      </c>
      <c r="F4807" s="38">
        <v>21630</v>
      </c>
      <c r="G4807" s="38" t="s">
        <v>668</v>
      </c>
      <c r="H4807" s="25" t="str">
        <f t="shared" si="155"/>
        <v>平成7年3月31日</v>
      </c>
      <c r="I4807" s="39">
        <f t="shared" si="154"/>
        <v>34789</v>
      </c>
      <c r="J4807" s="25" t="str">
        <f>"00746271"</f>
        <v>00746271</v>
      </c>
      <c r="K4807" s="25" t="str">
        <f>"３６７　　　　　　　　　　　　　　　　　"</f>
        <v>３６７　　　　　　　　　　　　　　　　　</v>
      </c>
      <c r="L4807" s="25"/>
    </row>
    <row r="4808" spans="1:12" s="40" customFormat="1" ht="18" customHeight="1" x14ac:dyDescent="0.15">
      <c r="A4808" s="25">
        <v>4665</v>
      </c>
      <c r="B4808" s="25" t="s">
        <v>408</v>
      </c>
      <c r="C4808" s="25" t="s">
        <v>411</v>
      </c>
      <c r="D4808" s="25">
        <v>1</v>
      </c>
      <c r="E4808" s="25" t="s">
        <v>9</v>
      </c>
      <c r="F4808" s="38">
        <v>21630</v>
      </c>
      <c r="G4808" s="38" t="s">
        <v>668</v>
      </c>
      <c r="H4808" s="25" t="str">
        <f t="shared" si="155"/>
        <v>平成7年3月31日</v>
      </c>
      <c r="I4808" s="39">
        <f t="shared" si="154"/>
        <v>34789</v>
      </c>
      <c r="J4808" s="25" t="str">
        <f>"00746273"</f>
        <v>00746273</v>
      </c>
      <c r="K4808" s="25" t="str">
        <f>"３６８　　　　　　　　　　　　　　　　　"</f>
        <v>３６８　　　　　　　　　　　　　　　　　</v>
      </c>
      <c r="L4808" s="25"/>
    </row>
    <row r="4809" spans="1:12" s="40" customFormat="1" ht="18" customHeight="1" x14ac:dyDescent="0.15">
      <c r="A4809" s="25">
        <v>4666</v>
      </c>
      <c r="B4809" s="25" t="s">
        <v>408</v>
      </c>
      <c r="C4809" s="25" t="s">
        <v>412</v>
      </c>
      <c r="D4809" s="25">
        <v>1</v>
      </c>
      <c r="E4809" s="25" t="s">
        <v>9</v>
      </c>
      <c r="F4809" s="38">
        <v>21630</v>
      </c>
      <c r="G4809" s="38" t="s">
        <v>668</v>
      </c>
      <c r="H4809" s="25" t="str">
        <f t="shared" si="155"/>
        <v>平成7年3月31日</v>
      </c>
      <c r="I4809" s="39">
        <f t="shared" si="154"/>
        <v>34789</v>
      </c>
      <c r="J4809" s="25" t="str">
        <f>"00746275"</f>
        <v>00746275</v>
      </c>
      <c r="K4809" s="25" t="str">
        <f>"３６９　　　　　　　　　　　　　　　　　"</f>
        <v>３６９　　　　　　　　　　　　　　　　　</v>
      </c>
      <c r="L4809" s="25"/>
    </row>
    <row r="4810" spans="1:12" s="40" customFormat="1" ht="18" customHeight="1" x14ac:dyDescent="0.15">
      <c r="A4810" s="25">
        <v>4667</v>
      </c>
      <c r="B4810" s="25" t="s">
        <v>408</v>
      </c>
      <c r="C4810" s="25" t="s">
        <v>412</v>
      </c>
      <c r="D4810" s="25">
        <v>1</v>
      </c>
      <c r="E4810" s="25" t="s">
        <v>9</v>
      </c>
      <c r="F4810" s="38">
        <v>21630</v>
      </c>
      <c r="G4810" s="38" t="s">
        <v>668</v>
      </c>
      <c r="H4810" s="25" t="str">
        <f t="shared" si="155"/>
        <v>平成7年3月31日</v>
      </c>
      <c r="I4810" s="39">
        <f t="shared" si="154"/>
        <v>34789</v>
      </c>
      <c r="J4810" s="25" t="str">
        <f>"00746277"</f>
        <v>00746277</v>
      </c>
      <c r="K4810" s="25" t="str">
        <f>"３７０　　　　　　　　　　　　　　　　　"</f>
        <v>３７０　　　　　　　　　　　　　　　　　</v>
      </c>
      <c r="L4810" s="25"/>
    </row>
    <row r="4811" spans="1:12" s="40" customFormat="1" ht="18" customHeight="1" x14ac:dyDescent="0.15">
      <c r="A4811" s="25">
        <v>4668</v>
      </c>
      <c r="B4811" s="25" t="s">
        <v>408</v>
      </c>
      <c r="C4811" s="25" t="s">
        <v>413</v>
      </c>
      <c r="D4811" s="25">
        <v>1</v>
      </c>
      <c r="E4811" s="25" t="s">
        <v>9</v>
      </c>
      <c r="F4811" s="38">
        <v>24926</v>
      </c>
      <c r="G4811" s="38" t="s">
        <v>668</v>
      </c>
      <c r="H4811" s="25" t="str">
        <f t="shared" si="155"/>
        <v>平成7年3月31日</v>
      </c>
      <c r="I4811" s="39">
        <f t="shared" si="154"/>
        <v>34789</v>
      </c>
      <c r="J4811" s="25" t="str">
        <f>"00746279"</f>
        <v>00746279</v>
      </c>
      <c r="K4811" s="25" t="str">
        <f>"３７１　　　　　　　　　　　　　　　　　"</f>
        <v>３７１　　　　　　　　　　　　　　　　　</v>
      </c>
      <c r="L4811" s="25"/>
    </row>
    <row r="4812" spans="1:12" s="40" customFormat="1" ht="18" customHeight="1" x14ac:dyDescent="0.15">
      <c r="A4812" s="25">
        <v>4669</v>
      </c>
      <c r="B4812" s="25" t="s">
        <v>408</v>
      </c>
      <c r="C4812" s="25" t="s">
        <v>413</v>
      </c>
      <c r="D4812" s="25">
        <v>1</v>
      </c>
      <c r="E4812" s="25" t="s">
        <v>9</v>
      </c>
      <c r="F4812" s="38">
        <v>24926</v>
      </c>
      <c r="G4812" s="38" t="s">
        <v>668</v>
      </c>
      <c r="H4812" s="25" t="str">
        <f t="shared" si="155"/>
        <v>平成7年3月31日</v>
      </c>
      <c r="I4812" s="39">
        <f t="shared" si="154"/>
        <v>34789</v>
      </c>
      <c r="J4812" s="25" t="str">
        <f>"00746281"</f>
        <v>00746281</v>
      </c>
      <c r="K4812" s="25" t="str">
        <f>"３７２　　　　　　　　　　　　　　　　　"</f>
        <v>３７２　　　　　　　　　　　　　　　　　</v>
      </c>
      <c r="L4812" s="25"/>
    </row>
    <row r="4813" spans="1:12" s="40" customFormat="1" ht="18" customHeight="1" x14ac:dyDescent="0.15">
      <c r="A4813" s="25">
        <v>4670</v>
      </c>
      <c r="B4813" s="25" t="s">
        <v>408</v>
      </c>
      <c r="C4813" s="25" t="s">
        <v>413</v>
      </c>
      <c r="D4813" s="25">
        <v>1</v>
      </c>
      <c r="E4813" s="25" t="s">
        <v>9</v>
      </c>
      <c r="F4813" s="38">
        <v>24926</v>
      </c>
      <c r="G4813" s="38" t="s">
        <v>668</v>
      </c>
      <c r="H4813" s="25" t="str">
        <f t="shared" si="155"/>
        <v>平成7年3月31日</v>
      </c>
      <c r="I4813" s="39">
        <f t="shared" si="154"/>
        <v>34789</v>
      </c>
      <c r="J4813" s="25" t="str">
        <f>"00746283"</f>
        <v>00746283</v>
      </c>
      <c r="K4813" s="25" t="str">
        <f>"３７３　　　　　　　　　　　　　　　　　"</f>
        <v>３７３　　　　　　　　　　　　　　　　　</v>
      </c>
      <c r="L4813" s="25"/>
    </row>
    <row r="4814" spans="1:12" s="40" customFormat="1" ht="18" customHeight="1" x14ac:dyDescent="0.15">
      <c r="A4814" s="25">
        <v>4671</v>
      </c>
      <c r="B4814" s="25" t="s">
        <v>408</v>
      </c>
      <c r="C4814" s="25" t="s">
        <v>414</v>
      </c>
      <c r="D4814" s="25">
        <v>1</v>
      </c>
      <c r="E4814" s="25" t="s">
        <v>9</v>
      </c>
      <c r="F4814" s="38">
        <v>24926</v>
      </c>
      <c r="G4814" s="38" t="s">
        <v>668</v>
      </c>
      <c r="H4814" s="25" t="str">
        <f t="shared" si="155"/>
        <v>平成7年3月31日</v>
      </c>
      <c r="I4814" s="39">
        <f t="shared" si="154"/>
        <v>34789</v>
      </c>
      <c r="J4814" s="25" t="str">
        <f>"00746285"</f>
        <v>00746285</v>
      </c>
      <c r="K4814" s="25" t="str">
        <f>"３７４　　　　　　　　　　　　　　　　　"</f>
        <v>３７４　　　　　　　　　　　　　　　　　</v>
      </c>
      <c r="L4814" s="25"/>
    </row>
    <row r="4815" spans="1:12" s="40" customFormat="1" ht="18" customHeight="1" x14ac:dyDescent="0.15">
      <c r="A4815" s="25">
        <v>4672</v>
      </c>
      <c r="B4815" s="25" t="s">
        <v>408</v>
      </c>
      <c r="C4815" s="25" t="s">
        <v>414</v>
      </c>
      <c r="D4815" s="25">
        <v>1</v>
      </c>
      <c r="E4815" s="25" t="s">
        <v>9</v>
      </c>
      <c r="F4815" s="38">
        <v>24926</v>
      </c>
      <c r="G4815" s="38" t="s">
        <v>668</v>
      </c>
      <c r="H4815" s="25" t="str">
        <f t="shared" si="155"/>
        <v>平成7年3月31日</v>
      </c>
      <c r="I4815" s="39">
        <f t="shared" si="154"/>
        <v>34789</v>
      </c>
      <c r="J4815" s="25" t="str">
        <f>"00746287"</f>
        <v>00746287</v>
      </c>
      <c r="K4815" s="25" t="str">
        <f>"３７５　　　　　　　　　　　　　　　　　"</f>
        <v>３７５　　　　　　　　　　　　　　　　　</v>
      </c>
      <c r="L4815" s="25"/>
    </row>
    <row r="4816" spans="1:12" s="40" customFormat="1" ht="18" customHeight="1" x14ac:dyDescent="0.15">
      <c r="A4816" s="25">
        <v>4673</v>
      </c>
      <c r="B4816" s="25" t="s">
        <v>408</v>
      </c>
      <c r="C4816" s="25" t="s">
        <v>414</v>
      </c>
      <c r="D4816" s="25">
        <v>1</v>
      </c>
      <c r="E4816" s="25" t="s">
        <v>9</v>
      </c>
      <c r="F4816" s="38">
        <v>24926</v>
      </c>
      <c r="G4816" s="38" t="s">
        <v>668</v>
      </c>
      <c r="H4816" s="25" t="str">
        <f t="shared" si="155"/>
        <v>平成7年3月31日</v>
      </c>
      <c r="I4816" s="39">
        <f t="shared" si="154"/>
        <v>34789</v>
      </c>
      <c r="J4816" s="25" t="str">
        <f>"00746289"</f>
        <v>00746289</v>
      </c>
      <c r="K4816" s="25" t="str">
        <f>"３７６　　　　　　　　　　　　　　　　　"</f>
        <v>３７６　　　　　　　　　　　　　　　　　</v>
      </c>
      <c r="L4816" s="25"/>
    </row>
    <row r="4817" spans="1:12" s="40" customFormat="1" ht="18" customHeight="1" x14ac:dyDescent="0.15">
      <c r="A4817" s="25">
        <v>4674</v>
      </c>
      <c r="B4817" s="25" t="s">
        <v>408</v>
      </c>
      <c r="C4817" s="25" t="s">
        <v>415</v>
      </c>
      <c r="D4817" s="25">
        <v>1</v>
      </c>
      <c r="E4817" s="25" t="s">
        <v>9</v>
      </c>
      <c r="F4817" s="38">
        <v>24926</v>
      </c>
      <c r="G4817" s="38" t="s">
        <v>668</v>
      </c>
      <c r="H4817" s="25" t="str">
        <f t="shared" si="155"/>
        <v>平成7年3月31日</v>
      </c>
      <c r="I4817" s="39">
        <f t="shared" si="154"/>
        <v>34789</v>
      </c>
      <c r="J4817" s="25" t="str">
        <f>"00746291"</f>
        <v>00746291</v>
      </c>
      <c r="K4817" s="25" t="str">
        <f>"３７７　　　　　　　　　　　　　　　　　"</f>
        <v>３７７　　　　　　　　　　　　　　　　　</v>
      </c>
      <c r="L4817" s="25"/>
    </row>
    <row r="4818" spans="1:12" s="40" customFormat="1" ht="18" customHeight="1" x14ac:dyDescent="0.15">
      <c r="A4818" s="25">
        <v>4675</v>
      </c>
      <c r="B4818" s="25" t="s">
        <v>408</v>
      </c>
      <c r="C4818" s="25" t="s">
        <v>415</v>
      </c>
      <c r="D4818" s="25">
        <v>1</v>
      </c>
      <c r="E4818" s="25" t="s">
        <v>9</v>
      </c>
      <c r="F4818" s="38">
        <v>24926</v>
      </c>
      <c r="G4818" s="38" t="s">
        <v>668</v>
      </c>
      <c r="H4818" s="25" t="str">
        <f t="shared" si="155"/>
        <v>平成7年3月31日</v>
      </c>
      <c r="I4818" s="39">
        <f t="shared" ref="I4818:I4881" si="156">DATEVALUE(H4818)</f>
        <v>34789</v>
      </c>
      <c r="J4818" s="25" t="str">
        <f>"00746293"</f>
        <v>00746293</v>
      </c>
      <c r="K4818" s="25" t="str">
        <f>"３７８　　　　　　　　　　　　　　　　　"</f>
        <v>３７８　　　　　　　　　　　　　　　　　</v>
      </c>
      <c r="L4818" s="25"/>
    </row>
    <row r="4819" spans="1:12" s="40" customFormat="1" ht="18" customHeight="1" x14ac:dyDescent="0.15">
      <c r="A4819" s="25">
        <v>4676</v>
      </c>
      <c r="B4819" s="25" t="s">
        <v>408</v>
      </c>
      <c r="C4819" s="25" t="s">
        <v>415</v>
      </c>
      <c r="D4819" s="25">
        <v>1</v>
      </c>
      <c r="E4819" s="25" t="s">
        <v>9</v>
      </c>
      <c r="F4819" s="38">
        <v>24926</v>
      </c>
      <c r="G4819" s="38" t="s">
        <v>668</v>
      </c>
      <c r="H4819" s="25" t="str">
        <f t="shared" si="155"/>
        <v>平成7年3月31日</v>
      </c>
      <c r="I4819" s="39">
        <f t="shared" si="156"/>
        <v>34789</v>
      </c>
      <c r="J4819" s="25" t="str">
        <f>"00746295"</f>
        <v>00746295</v>
      </c>
      <c r="K4819" s="25" t="str">
        <f>"３７９　　　　　　　　　　　　　　　　　"</f>
        <v>３７９　　　　　　　　　　　　　　　　　</v>
      </c>
      <c r="L4819" s="25"/>
    </row>
    <row r="4820" spans="1:12" s="40" customFormat="1" ht="18" customHeight="1" x14ac:dyDescent="0.15">
      <c r="A4820" s="25">
        <v>4677</v>
      </c>
      <c r="B4820" s="25" t="s">
        <v>408</v>
      </c>
      <c r="C4820" s="25" t="s">
        <v>416</v>
      </c>
      <c r="D4820" s="25">
        <v>1</v>
      </c>
      <c r="E4820" s="25" t="s">
        <v>9</v>
      </c>
      <c r="F4820" s="38">
        <v>24926</v>
      </c>
      <c r="G4820" s="38" t="s">
        <v>668</v>
      </c>
      <c r="H4820" s="25" t="str">
        <f t="shared" si="155"/>
        <v>平成7年3月31日</v>
      </c>
      <c r="I4820" s="39">
        <f t="shared" si="156"/>
        <v>34789</v>
      </c>
      <c r="J4820" s="25" t="str">
        <f>"00746297"</f>
        <v>00746297</v>
      </c>
      <c r="K4820" s="25" t="str">
        <f>"３８０　　　　　　　　　　　　　　　　　"</f>
        <v>３８０　　　　　　　　　　　　　　　　　</v>
      </c>
      <c r="L4820" s="25"/>
    </row>
    <row r="4821" spans="1:12" s="40" customFormat="1" ht="18" customHeight="1" x14ac:dyDescent="0.15">
      <c r="A4821" s="25">
        <v>4678</v>
      </c>
      <c r="B4821" s="25" t="s">
        <v>408</v>
      </c>
      <c r="C4821" s="25" t="s">
        <v>416</v>
      </c>
      <c r="D4821" s="25">
        <v>1</v>
      </c>
      <c r="E4821" s="25" t="s">
        <v>9</v>
      </c>
      <c r="F4821" s="38">
        <v>24926</v>
      </c>
      <c r="G4821" s="38" t="s">
        <v>668</v>
      </c>
      <c r="H4821" s="25" t="str">
        <f t="shared" si="155"/>
        <v>平成7年3月31日</v>
      </c>
      <c r="I4821" s="39">
        <f t="shared" si="156"/>
        <v>34789</v>
      </c>
      <c r="J4821" s="25" t="str">
        <f>"00746299"</f>
        <v>00746299</v>
      </c>
      <c r="K4821" s="25" t="str">
        <f>"３８１　　　　　　　　　　　　　　　　　"</f>
        <v>３８１　　　　　　　　　　　　　　　　　</v>
      </c>
      <c r="L4821" s="25"/>
    </row>
    <row r="4822" spans="1:12" s="40" customFormat="1" ht="18" customHeight="1" x14ac:dyDescent="0.15">
      <c r="A4822" s="25">
        <v>4679</v>
      </c>
      <c r="B4822" s="25" t="s">
        <v>408</v>
      </c>
      <c r="C4822" s="25" t="s">
        <v>416</v>
      </c>
      <c r="D4822" s="25">
        <v>1</v>
      </c>
      <c r="E4822" s="25" t="s">
        <v>9</v>
      </c>
      <c r="F4822" s="38">
        <v>24926</v>
      </c>
      <c r="G4822" s="38" t="s">
        <v>668</v>
      </c>
      <c r="H4822" s="25" t="str">
        <f t="shared" si="155"/>
        <v>平成7年3月31日</v>
      </c>
      <c r="I4822" s="39">
        <f t="shared" si="156"/>
        <v>34789</v>
      </c>
      <c r="J4822" s="25" t="str">
        <f>"00746301"</f>
        <v>00746301</v>
      </c>
      <c r="K4822" s="25" t="str">
        <f>"３８２　　　　　　　　　　　　　　　　　"</f>
        <v>３８２　　　　　　　　　　　　　　　　　</v>
      </c>
      <c r="L4822" s="25"/>
    </row>
    <row r="4823" spans="1:12" ht="18" customHeight="1" x14ac:dyDescent="0.15">
      <c r="A4823" s="11">
        <v>4733</v>
      </c>
      <c r="B4823" s="11" t="s">
        <v>436</v>
      </c>
      <c r="C4823" s="11" t="s">
        <v>439</v>
      </c>
      <c r="D4823" s="11">
        <v>1</v>
      </c>
      <c r="E4823" s="11" t="s">
        <v>4</v>
      </c>
      <c r="F4823" s="12">
        <v>247200</v>
      </c>
      <c r="G4823" s="12">
        <v>247200</v>
      </c>
      <c r="H4823" s="11" t="str">
        <f t="shared" si="155"/>
        <v>平成7年3月31日</v>
      </c>
      <c r="I4823" s="22">
        <f t="shared" si="156"/>
        <v>34789</v>
      </c>
      <c r="J4823" s="1" t="str">
        <f>"00746438"</f>
        <v>00746438</v>
      </c>
      <c r="K4823" s="1" t="str">
        <f>"３３１　　　　　　　　　　　　　　　　　"</f>
        <v>３３１　　　　　　　　　　　　　　　　　</v>
      </c>
      <c r="L4823" s="1"/>
    </row>
    <row r="4824" spans="1:12" ht="18" customHeight="1" x14ac:dyDescent="0.15">
      <c r="A4824" s="11">
        <v>4843</v>
      </c>
      <c r="B4824" s="41" t="s">
        <v>646</v>
      </c>
      <c r="C4824" s="41" t="s">
        <v>647</v>
      </c>
      <c r="D4824" s="41">
        <v>1</v>
      </c>
      <c r="E4824" s="41" t="s">
        <v>4</v>
      </c>
      <c r="F4824" s="42">
        <v>73439</v>
      </c>
      <c r="G4824" s="42" t="s">
        <v>667</v>
      </c>
      <c r="H4824" s="41" t="str">
        <f t="shared" si="155"/>
        <v>平成7年3月31日</v>
      </c>
      <c r="I4824" s="22">
        <f t="shared" si="156"/>
        <v>34789</v>
      </c>
      <c r="J4824" s="43" t="str">
        <f>"00746839"</f>
        <v>00746839</v>
      </c>
      <c r="K4824" s="43" t="str">
        <f>"３９９　　　　　　　　　　　　　　　　　"</f>
        <v>３９９　　　　　　　　　　　　　　　　　</v>
      </c>
      <c r="L4824" s="43" t="s">
        <v>649</v>
      </c>
    </row>
    <row r="4825" spans="1:12" ht="18" customHeight="1" x14ac:dyDescent="0.15">
      <c r="A4825" s="11">
        <v>4844</v>
      </c>
      <c r="B4825" s="41" t="s">
        <v>471</v>
      </c>
      <c r="C4825" s="41" t="s">
        <v>475</v>
      </c>
      <c r="D4825" s="41">
        <v>1</v>
      </c>
      <c r="E4825" s="41" t="s">
        <v>4</v>
      </c>
      <c r="F4825" s="42">
        <v>73439</v>
      </c>
      <c r="G4825" s="42" t="s">
        <v>667</v>
      </c>
      <c r="H4825" s="41" t="str">
        <f t="shared" si="155"/>
        <v>平成7年3月31日</v>
      </c>
      <c r="I4825" s="22">
        <f t="shared" si="156"/>
        <v>34789</v>
      </c>
      <c r="J4825" s="43" t="str">
        <f>"00746840"</f>
        <v>00746840</v>
      </c>
      <c r="K4825" s="43" t="str">
        <f>"４００　　　　　　　　　　　　　　　　　"</f>
        <v>４００　　　　　　　　　　　　　　　　　</v>
      </c>
      <c r="L4825" s="43" t="s">
        <v>650</v>
      </c>
    </row>
    <row r="4826" spans="1:12" ht="18" customHeight="1" x14ac:dyDescent="0.15">
      <c r="A4826" s="11">
        <v>4845</v>
      </c>
      <c r="B4826" s="11" t="s">
        <v>471</v>
      </c>
      <c r="C4826" s="11" t="s">
        <v>475</v>
      </c>
      <c r="D4826" s="11">
        <v>1</v>
      </c>
      <c r="E4826" s="11" t="s">
        <v>4</v>
      </c>
      <c r="F4826" s="12">
        <v>73439</v>
      </c>
      <c r="G4826" s="12">
        <v>73439</v>
      </c>
      <c r="H4826" s="11" t="str">
        <f t="shared" si="155"/>
        <v>平成7年3月31日</v>
      </c>
      <c r="I4826" s="22">
        <f t="shared" si="156"/>
        <v>34789</v>
      </c>
      <c r="J4826" s="1" t="str">
        <f>"00746842"</f>
        <v>00746842</v>
      </c>
      <c r="K4826" s="1" t="str">
        <f>"４０１　　　　　　　　　　　　　　　　　"</f>
        <v>４０１　　　　　　　　　　　　　　　　　</v>
      </c>
      <c r="L4826" s="1"/>
    </row>
    <row r="4827" spans="1:12" ht="18" customHeight="1" x14ac:dyDescent="0.15">
      <c r="A4827" s="11">
        <v>4846</v>
      </c>
      <c r="B4827" s="11" t="s">
        <v>471</v>
      </c>
      <c r="C4827" s="11" t="s">
        <v>475</v>
      </c>
      <c r="D4827" s="11">
        <v>1</v>
      </c>
      <c r="E4827" s="11" t="s">
        <v>4</v>
      </c>
      <c r="F4827" s="12">
        <v>73439</v>
      </c>
      <c r="G4827" s="12">
        <v>73439</v>
      </c>
      <c r="H4827" s="11" t="str">
        <f t="shared" si="155"/>
        <v>平成7年3月31日</v>
      </c>
      <c r="I4827" s="22">
        <f t="shared" si="156"/>
        <v>34789</v>
      </c>
      <c r="J4827" s="1" t="str">
        <f>"00746844"</f>
        <v>00746844</v>
      </c>
      <c r="K4827" s="1" t="str">
        <f>"４０２　　　　　　　　　　　　　　　　　"</f>
        <v>４０２　　　　　　　　　　　　　　　　　</v>
      </c>
      <c r="L4827" s="1"/>
    </row>
    <row r="4828" spans="1:12" ht="18" customHeight="1" x14ac:dyDescent="0.15">
      <c r="A4828" s="11">
        <v>4847</v>
      </c>
      <c r="B4828" s="41" t="s">
        <v>471</v>
      </c>
      <c r="C4828" s="41" t="s">
        <v>475</v>
      </c>
      <c r="D4828" s="41">
        <v>1</v>
      </c>
      <c r="E4828" s="41" t="s">
        <v>4</v>
      </c>
      <c r="F4828" s="42">
        <v>73439</v>
      </c>
      <c r="G4828" s="42" t="s">
        <v>667</v>
      </c>
      <c r="H4828" s="41" t="str">
        <f t="shared" si="155"/>
        <v>平成7年3月31日</v>
      </c>
      <c r="I4828" s="22">
        <f t="shared" si="156"/>
        <v>34789</v>
      </c>
      <c r="J4828" s="43" t="str">
        <f>"00746846"</f>
        <v>00746846</v>
      </c>
      <c r="K4828" s="43" t="str">
        <f>"４０３　　　　　　　　　　　　　　　　　"</f>
        <v>４０３　　　　　　　　　　　　　　　　　</v>
      </c>
      <c r="L4828" s="43" t="s">
        <v>650</v>
      </c>
    </row>
    <row r="4829" spans="1:12" ht="18" customHeight="1" x14ac:dyDescent="0.15">
      <c r="A4829" s="11">
        <v>4848</v>
      </c>
      <c r="B4829" s="41" t="s">
        <v>471</v>
      </c>
      <c r="C4829" s="41" t="s">
        <v>475</v>
      </c>
      <c r="D4829" s="41">
        <v>1</v>
      </c>
      <c r="E4829" s="41" t="s">
        <v>4</v>
      </c>
      <c r="F4829" s="42">
        <v>73439</v>
      </c>
      <c r="G4829" s="42" t="s">
        <v>667</v>
      </c>
      <c r="H4829" s="41" t="str">
        <f t="shared" si="155"/>
        <v>平成7年3月31日</v>
      </c>
      <c r="I4829" s="22">
        <f t="shared" si="156"/>
        <v>34789</v>
      </c>
      <c r="J4829" s="43" t="str">
        <f>"00746848"</f>
        <v>00746848</v>
      </c>
      <c r="K4829" s="43" t="str">
        <f>"４０４　　　　　　　　　　　　　　　　　"</f>
        <v>４０４　　　　　　　　　　　　　　　　　</v>
      </c>
      <c r="L4829" s="43" t="s">
        <v>650</v>
      </c>
    </row>
    <row r="4830" spans="1:12" ht="18" customHeight="1" x14ac:dyDescent="0.15">
      <c r="A4830" s="11">
        <v>4849</v>
      </c>
      <c r="B4830" s="41" t="s">
        <v>471</v>
      </c>
      <c r="C4830" s="41" t="s">
        <v>475</v>
      </c>
      <c r="D4830" s="41">
        <v>1</v>
      </c>
      <c r="E4830" s="41" t="s">
        <v>4</v>
      </c>
      <c r="F4830" s="42">
        <v>73439</v>
      </c>
      <c r="G4830" s="42" t="s">
        <v>667</v>
      </c>
      <c r="H4830" s="41" t="str">
        <f t="shared" si="155"/>
        <v>平成7年3月31日</v>
      </c>
      <c r="I4830" s="22">
        <f t="shared" si="156"/>
        <v>34789</v>
      </c>
      <c r="J4830" s="43" t="str">
        <f>"00746850"</f>
        <v>00746850</v>
      </c>
      <c r="K4830" s="43" t="str">
        <f>"４０５　　　　　　　　　　　　　　　　　"</f>
        <v>４０５　　　　　　　　　　　　　　　　　</v>
      </c>
      <c r="L4830" s="43" t="s">
        <v>650</v>
      </c>
    </row>
    <row r="4831" spans="1:12" ht="18" customHeight="1" x14ac:dyDescent="0.15">
      <c r="A4831" s="11">
        <v>4850</v>
      </c>
      <c r="B4831" s="41" t="s">
        <v>471</v>
      </c>
      <c r="C4831" s="41" t="s">
        <v>475</v>
      </c>
      <c r="D4831" s="41">
        <v>1</v>
      </c>
      <c r="E4831" s="41" t="s">
        <v>4</v>
      </c>
      <c r="F4831" s="42">
        <v>73439</v>
      </c>
      <c r="G4831" s="42" t="s">
        <v>667</v>
      </c>
      <c r="H4831" s="41" t="str">
        <f t="shared" si="155"/>
        <v>平成7年3月31日</v>
      </c>
      <c r="I4831" s="22">
        <f t="shared" si="156"/>
        <v>34789</v>
      </c>
      <c r="J4831" s="43" t="str">
        <f>"00746852"</f>
        <v>00746852</v>
      </c>
      <c r="K4831" s="43" t="str">
        <f>"４０６　　　　　　　　　　　　　　　　　"</f>
        <v>４０６　　　　　　　　　　　　　　　　　</v>
      </c>
      <c r="L4831" s="43" t="s">
        <v>650</v>
      </c>
    </row>
    <row r="4832" spans="1:12" ht="18" customHeight="1" x14ac:dyDescent="0.15">
      <c r="A4832" s="11">
        <v>4851</v>
      </c>
      <c r="B4832" s="41" t="s">
        <v>471</v>
      </c>
      <c r="C4832" s="41" t="s">
        <v>648</v>
      </c>
      <c r="D4832" s="41">
        <v>1</v>
      </c>
      <c r="E4832" s="41" t="s">
        <v>4</v>
      </c>
      <c r="F4832" s="42">
        <v>73439</v>
      </c>
      <c r="G4832" s="42" t="s">
        <v>667</v>
      </c>
      <c r="H4832" s="41" t="str">
        <f t="shared" si="155"/>
        <v>平成7年3月31日</v>
      </c>
      <c r="I4832" s="22">
        <f t="shared" si="156"/>
        <v>34789</v>
      </c>
      <c r="J4832" s="43" t="str">
        <f>"00746855"</f>
        <v>00746855</v>
      </c>
      <c r="K4832" s="43" t="str">
        <f>"４０７　　　　　　　　　　　　　　　　　"</f>
        <v>４０７　　　　　　　　　　　　　　　　　</v>
      </c>
      <c r="L4832" s="43" t="s">
        <v>650</v>
      </c>
    </row>
    <row r="4833" spans="1:12" ht="18" customHeight="1" x14ac:dyDescent="0.15">
      <c r="A4833" s="11">
        <v>4852</v>
      </c>
      <c r="B4833" s="41" t="s">
        <v>471</v>
      </c>
      <c r="C4833" s="41" t="s">
        <v>476</v>
      </c>
      <c r="D4833" s="41">
        <v>1</v>
      </c>
      <c r="E4833" s="41" t="s">
        <v>4</v>
      </c>
      <c r="F4833" s="42">
        <v>73439</v>
      </c>
      <c r="G4833" s="42" t="s">
        <v>667</v>
      </c>
      <c r="H4833" s="41" t="str">
        <f t="shared" si="155"/>
        <v>平成7年3月31日</v>
      </c>
      <c r="I4833" s="22">
        <f t="shared" si="156"/>
        <v>34789</v>
      </c>
      <c r="J4833" s="43" t="str">
        <f>"00746856"</f>
        <v>00746856</v>
      </c>
      <c r="K4833" s="43" t="str">
        <f>"４０８　　　　　　　　　　　　　　　　　"</f>
        <v>４０８　　　　　　　　　　　　　　　　　</v>
      </c>
      <c r="L4833" s="43" t="s">
        <v>650</v>
      </c>
    </row>
    <row r="4834" spans="1:12" ht="18" customHeight="1" x14ac:dyDescent="0.15">
      <c r="A4834" s="11">
        <v>4853</v>
      </c>
      <c r="B4834" s="41" t="s">
        <v>471</v>
      </c>
      <c r="C4834" s="41" t="s">
        <v>476</v>
      </c>
      <c r="D4834" s="41">
        <v>1</v>
      </c>
      <c r="E4834" s="41" t="s">
        <v>4</v>
      </c>
      <c r="F4834" s="42">
        <v>73439</v>
      </c>
      <c r="G4834" s="42" t="s">
        <v>667</v>
      </c>
      <c r="H4834" s="41" t="str">
        <f t="shared" si="155"/>
        <v>平成7年3月31日</v>
      </c>
      <c r="I4834" s="22">
        <f t="shared" si="156"/>
        <v>34789</v>
      </c>
      <c r="J4834" s="43" t="str">
        <f>"00746859"</f>
        <v>00746859</v>
      </c>
      <c r="K4834" s="43" t="str">
        <f>"４０９　　　　　　　　　　　　　　　　　"</f>
        <v>４０９　　　　　　　　　　　　　　　　　</v>
      </c>
      <c r="L4834" s="43" t="s">
        <v>650</v>
      </c>
    </row>
    <row r="4835" spans="1:12" ht="18" customHeight="1" x14ac:dyDescent="0.15">
      <c r="A4835" s="11">
        <v>4854</v>
      </c>
      <c r="B4835" s="41" t="s">
        <v>471</v>
      </c>
      <c r="C4835" s="41" t="s">
        <v>476</v>
      </c>
      <c r="D4835" s="41">
        <v>1</v>
      </c>
      <c r="E4835" s="41" t="s">
        <v>4</v>
      </c>
      <c r="F4835" s="42">
        <v>73439</v>
      </c>
      <c r="G4835" s="42" t="s">
        <v>667</v>
      </c>
      <c r="H4835" s="41" t="str">
        <f t="shared" si="155"/>
        <v>平成7年3月31日</v>
      </c>
      <c r="I4835" s="22">
        <f t="shared" si="156"/>
        <v>34789</v>
      </c>
      <c r="J4835" s="43" t="str">
        <f>"00746861"</f>
        <v>00746861</v>
      </c>
      <c r="K4835" s="43" t="str">
        <f>"４１０　　　　　　　　　　　　　　　　　"</f>
        <v>４１０　　　　　　　　　　　　　　　　　</v>
      </c>
      <c r="L4835" s="43" t="s">
        <v>650</v>
      </c>
    </row>
    <row r="4836" spans="1:12" ht="18" customHeight="1" x14ac:dyDescent="0.15">
      <c r="A4836" s="11">
        <v>4855</v>
      </c>
      <c r="B4836" s="41" t="s">
        <v>471</v>
      </c>
      <c r="C4836" s="41" t="s">
        <v>476</v>
      </c>
      <c r="D4836" s="41">
        <v>1</v>
      </c>
      <c r="E4836" s="41" t="s">
        <v>4</v>
      </c>
      <c r="F4836" s="42">
        <v>73439</v>
      </c>
      <c r="G4836" s="42" t="s">
        <v>667</v>
      </c>
      <c r="H4836" s="41" t="str">
        <f t="shared" si="155"/>
        <v>平成7年3月31日</v>
      </c>
      <c r="I4836" s="22">
        <f t="shared" si="156"/>
        <v>34789</v>
      </c>
      <c r="J4836" s="43" t="str">
        <f>"00746863"</f>
        <v>00746863</v>
      </c>
      <c r="K4836" s="43" t="str">
        <f>"４１１　　　　　　　　　　　　　　　　　"</f>
        <v>４１１　　　　　　　　　　　　　　　　　</v>
      </c>
      <c r="L4836" s="43" t="s">
        <v>650</v>
      </c>
    </row>
    <row r="4837" spans="1:12" ht="18" customHeight="1" x14ac:dyDescent="0.15">
      <c r="A4837" s="11">
        <v>4856</v>
      </c>
      <c r="B4837" s="41" t="s">
        <v>471</v>
      </c>
      <c r="C4837" s="41" t="s">
        <v>476</v>
      </c>
      <c r="D4837" s="41">
        <v>1</v>
      </c>
      <c r="E4837" s="41" t="s">
        <v>4</v>
      </c>
      <c r="F4837" s="42">
        <v>73439</v>
      </c>
      <c r="G4837" s="42" t="s">
        <v>667</v>
      </c>
      <c r="H4837" s="41" t="str">
        <f t="shared" si="155"/>
        <v>平成7年3月31日</v>
      </c>
      <c r="I4837" s="22">
        <f t="shared" si="156"/>
        <v>34789</v>
      </c>
      <c r="J4837" s="43" t="str">
        <f>"00746865"</f>
        <v>00746865</v>
      </c>
      <c r="K4837" s="43" t="str">
        <f>"４１２　　　　　　　　　　　　　　　　　"</f>
        <v>４１２　　　　　　　　　　　　　　　　　</v>
      </c>
      <c r="L4837" s="43" t="s">
        <v>650</v>
      </c>
    </row>
    <row r="4838" spans="1:12" ht="18" customHeight="1" x14ac:dyDescent="0.15">
      <c r="A4838" s="11">
        <v>4857</v>
      </c>
      <c r="B4838" s="11" t="s">
        <v>477</v>
      </c>
      <c r="C4838" s="11" t="s">
        <v>478</v>
      </c>
      <c r="D4838" s="11">
        <v>1</v>
      </c>
      <c r="E4838" s="11" t="s">
        <v>21</v>
      </c>
      <c r="F4838" s="12">
        <v>36256</v>
      </c>
      <c r="G4838" s="12">
        <v>36256</v>
      </c>
      <c r="H4838" s="11" t="str">
        <f t="shared" si="155"/>
        <v>平成7年3月31日</v>
      </c>
      <c r="I4838" s="22">
        <f t="shared" si="156"/>
        <v>34789</v>
      </c>
      <c r="J4838" s="1" t="str">
        <f>"00746872"</f>
        <v>00746872</v>
      </c>
      <c r="K4838" s="1" t="str">
        <f>"３１１　　　　　　　　　　　　　　　　　"</f>
        <v>３１１　　　　　　　　　　　　　　　　　</v>
      </c>
      <c r="L4838" s="1"/>
    </row>
    <row r="4839" spans="1:12" ht="18" customHeight="1" x14ac:dyDescent="0.15">
      <c r="A4839" s="11">
        <v>4858</v>
      </c>
      <c r="B4839" s="11" t="s">
        <v>477</v>
      </c>
      <c r="C4839" s="11" t="s">
        <v>478</v>
      </c>
      <c r="D4839" s="11">
        <v>1</v>
      </c>
      <c r="E4839" s="11" t="s">
        <v>21</v>
      </c>
      <c r="F4839" s="12">
        <v>36256</v>
      </c>
      <c r="G4839" s="12">
        <v>36256</v>
      </c>
      <c r="H4839" s="11" t="str">
        <f t="shared" si="155"/>
        <v>平成7年3月31日</v>
      </c>
      <c r="I4839" s="22">
        <f t="shared" si="156"/>
        <v>34789</v>
      </c>
      <c r="J4839" s="1" t="str">
        <f>"00746874"</f>
        <v>00746874</v>
      </c>
      <c r="K4839" s="1" t="str">
        <f>"３１２　　　　　　　　　　　　　　　　　"</f>
        <v>３１２　　　　　　　　　　　　　　　　　</v>
      </c>
      <c r="L4839" s="1"/>
    </row>
    <row r="4840" spans="1:12" ht="18" customHeight="1" x14ac:dyDescent="0.15">
      <c r="A4840" s="11">
        <v>4875</v>
      </c>
      <c r="B4840" s="11" t="s">
        <v>493</v>
      </c>
      <c r="C4840" s="11" t="s">
        <v>494</v>
      </c>
      <c r="D4840" s="11">
        <v>1</v>
      </c>
      <c r="E4840" s="11" t="s">
        <v>4</v>
      </c>
      <c r="F4840" s="12">
        <v>138123</v>
      </c>
      <c r="G4840" s="12">
        <v>138123</v>
      </c>
      <c r="H4840" s="11" t="str">
        <f t="shared" si="155"/>
        <v>平成7年3月31日</v>
      </c>
      <c r="I4840" s="22">
        <f t="shared" si="156"/>
        <v>34789</v>
      </c>
      <c r="J4840" s="1" t="str">
        <f>"00746911"</f>
        <v>00746911</v>
      </c>
      <c r="K4840" s="1" t="str">
        <f>"３０１　　　　　　　　　　　　　　　　　"</f>
        <v>３０１　　　　　　　　　　　　　　　　　</v>
      </c>
      <c r="L4840" s="1"/>
    </row>
    <row r="4841" spans="1:12" ht="18" customHeight="1" x14ac:dyDescent="0.15">
      <c r="A4841" s="11">
        <v>4876</v>
      </c>
      <c r="B4841" s="11" t="s">
        <v>493</v>
      </c>
      <c r="C4841" s="11" t="s">
        <v>494</v>
      </c>
      <c r="D4841" s="11">
        <v>1</v>
      </c>
      <c r="E4841" s="11" t="s">
        <v>4</v>
      </c>
      <c r="F4841" s="12">
        <v>138123</v>
      </c>
      <c r="G4841" s="12">
        <v>138123</v>
      </c>
      <c r="H4841" s="11" t="str">
        <f t="shared" si="155"/>
        <v>平成7年3月31日</v>
      </c>
      <c r="I4841" s="22">
        <f t="shared" si="156"/>
        <v>34789</v>
      </c>
      <c r="J4841" s="1" t="str">
        <f>"00746913"</f>
        <v>00746913</v>
      </c>
      <c r="K4841" s="1" t="str">
        <f>"３０２　　　　　　　　　　　　　　　　　"</f>
        <v>３０２　　　　　　　　　　　　　　　　　</v>
      </c>
      <c r="L4841" s="1"/>
    </row>
    <row r="4842" spans="1:12" s="40" customFormat="1" ht="18" customHeight="1" x14ac:dyDescent="0.15">
      <c r="A4842" s="25">
        <v>22</v>
      </c>
      <c r="B4842" s="25" t="s">
        <v>38</v>
      </c>
      <c r="C4842" s="25" t="s">
        <v>39</v>
      </c>
      <c r="D4842" s="25">
        <v>1</v>
      </c>
      <c r="E4842" s="25" t="s">
        <v>21</v>
      </c>
      <c r="F4842" s="38">
        <v>1171110</v>
      </c>
      <c r="G4842" s="38" t="s">
        <v>667</v>
      </c>
      <c r="H4842" s="25" t="str">
        <f>"平成7年6月11日"</f>
        <v>平成7年6月11日</v>
      </c>
      <c r="I4842" s="39">
        <f t="shared" si="156"/>
        <v>34861</v>
      </c>
      <c r="J4842" s="25" t="str">
        <f>"00003600"</f>
        <v>00003600</v>
      </c>
      <c r="K4842" s="25" t="str">
        <f>"３０３　　　　　　　　　　　　　　　　　"</f>
        <v>３０３　　　　　　　　　　　　　　　　　</v>
      </c>
      <c r="L4842" s="25"/>
    </row>
    <row r="4843" spans="1:12" s="40" customFormat="1" ht="18" customHeight="1" x14ac:dyDescent="0.15">
      <c r="A4843" s="25">
        <v>23</v>
      </c>
      <c r="B4843" s="25" t="s">
        <v>38</v>
      </c>
      <c r="C4843" s="25" t="s">
        <v>39</v>
      </c>
      <c r="D4843" s="25">
        <v>1</v>
      </c>
      <c r="E4843" s="25" t="s">
        <v>21</v>
      </c>
      <c r="F4843" s="38">
        <v>1171110</v>
      </c>
      <c r="G4843" s="38" t="s">
        <v>667</v>
      </c>
      <c r="H4843" s="25" t="str">
        <f>"平成7年6月11日"</f>
        <v>平成7年6月11日</v>
      </c>
      <c r="I4843" s="39">
        <f t="shared" si="156"/>
        <v>34861</v>
      </c>
      <c r="J4843" s="25" t="str">
        <f>"00003601"</f>
        <v>00003601</v>
      </c>
      <c r="K4843" s="25" t="str">
        <f>"３０１　　　　　　　　　　　　　　　　　"</f>
        <v>３０１　　　　　　　　　　　　　　　　　</v>
      </c>
      <c r="L4843" s="25"/>
    </row>
    <row r="4844" spans="1:12" s="40" customFormat="1" ht="18" customHeight="1" x14ac:dyDescent="0.15">
      <c r="A4844" s="25">
        <v>24</v>
      </c>
      <c r="B4844" s="25" t="s">
        <v>38</v>
      </c>
      <c r="C4844" s="25" t="s">
        <v>39</v>
      </c>
      <c r="D4844" s="25">
        <v>1</v>
      </c>
      <c r="E4844" s="25" t="s">
        <v>21</v>
      </c>
      <c r="F4844" s="38">
        <v>1171110</v>
      </c>
      <c r="G4844" s="38" t="s">
        <v>667</v>
      </c>
      <c r="H4844" s="25" t="str">
        <f>"平成7年6月11日"</f>
        <v>平成7年6月11日</v>
      </c>
      <c r="I4844" s="39">
        <f t="shared" si="156"/>
        <v>34861</v>
      </c>
      <c r="J4844" s="25" t="str">
        <f>"00003602"</f>
        <v>00003602</v>
      </c>
      <c r="K4844" s="25" t="str">
        <f>"３０２　　　　　　　　　　　　　　　　　"</f>
        <v>３０２　　　　　　　　　　　　　　　　　</v>
      </c>
      <c r="L4844" s="25"/>
    </row>
    <row r="4845" spans="1:12" s="40" customFormat="1" ht="18" customHeight="1" x14ac:dyDescent="0.15">
      <c r="A4845" s="25">
        <v>3932</v>
      </c>
      <c r="B4845" s="25" t="s">
        <v>67</v>
      </c>
      <c r="C4845" s="25" t="s">
        <v>240</v>
      </c>
      <c r="D4845" s="25">
        <v>1</v>
      </c>
      <c r="E4845" s="25" t="s">
        <v>4</v>
      </c>
      <c r="F4845" s="38">
        <v>39140</v>
      </c>
      <c r="G4845" s="38" t="s">
        <v>667</v>
      </c>
      <c r="H4845" s="25" t="str">
        <f>"平成8年12月17日"</f>
        <v>平成8年12月17日</v>
      </c>
      <c r="I4845" s="39">
        <f t="shared" si="156"/>
        <v>35416</v>
      </c>
      <c r="J4845" s="25" t="str">
        <f>"00744328"</f>
        <v>00744328</v>
      </c>
      <c r="K4845" s="25" t="str">
        <f>"４７４　　　　　　　　　　　　　　　　　"</f>
        <v>４７４　　　　　　　　　　　　　　　　　</v>
      </c>
      <c r="L4845" s="25"/>
    </row>
    <row r="4846" spans="1:12" s="40" customFormat="1" ht="18" customHeight="1" x14ac:dyDescent="0.15">
      <c r="A4846" s="25">
        <v>3933</v>
      </c>
      <c r="B4846" s="25" t="s">
        <v>67</v>
      </c>
      <c r="C4846" s="25" t="s">
        <v>240</v>
      </c>
      <c r="D4846" s="25">
        <v>1</v>
      </c>
      <c r="E4846" s="25" t="s">
        <v>4</v>
      </c>
      <c r="F4846" s="38">
        <v>39140</v>
      </c>
      <c r="G4846" s="38" t="s">
        <v>667</v>
      </c>
      <c r="H4846" s="25" t="str">
        <f>"平成8年12月17日"</f>
        <v>平成8年12月17日</v>
      </c>
      <c r="I4846" s="39">
        <f t="shared" si="156"/>
        <v>35416</v>
      </c>
      <c r="J4846" s="25" t="str">
        <f>"00744331"</f>
        <v>00744331</v>
      </c>
      <c r="K4846" s="25" t="str">
        <f>"４７５　　　　　　　　　　　　　　　　　"</f>
        <v>４７５　　　　　　　　　　　　　　　　　</v>
      </c>
      <c r="L4846" s="25"/>
    </row>
    <row r="4847" spans="1:12" s="40" customFormat="1" ht="18" customHeight="1" x14ac:dyDescent="0.15">
      <c r="A4847" s="25">
        <v>3934</v>
      </c>
      <c r="B4847" s="25" t="s">
        <v>67</v>
      </c>
      <c r="C4847" s="25" t="s">
        <v>240</v>
      </c>
      <c r="D4847" s="25">
        <v>1</v>
      </c>
      <c r="E4847" s="25" t="s">
        <v>4</v>
      </c>
      <c r="F4847" s="38">
        <v>39140</v>
      </c>
      <c r="G4847" s="38" t="s">
        <v>667</v>
      </c>
      <c r="H4847" s="25" t="str">
        <f>"平成8年12月17日"</f>
        <v>平成8年12月17日</v>
      </c>
      <c r="I4847" s="39">
        <f t="shared" si="156"/>
        <v>35416</v>
      </c>
      <c r="J4847" s="25" t="str">
        <f>"00744333"</f>
        <v>00744333</v>
      </c>
      <c r="K4847" s="25" t="str">
        <f>"４７６　　　　　　　　　　　　　　　　　"</f>
        <v>４７６　　　　　　　　　　　　　　　　　</v>
      </c>
      <c r="L4847" s="25"/>
    </row>
    <row r="4848" spans="1:12" s="40" customFormat="1" ht="18" customHeight="1" x14ac:dyDescent="0.15">
      <c r="A4848" s="25">
        <v>3935</v>
      </c>
      <c r="B4848" s="25" t="s">
        <v>67</v>
      </c>
      <c r="C4848" s="25" t="s">
        <v>240</v>
      </c>
      <c r="D4848" s="25">
        <v>1</v>
      </c>
      <c r="E4848" s="25" t="s">
        <v>4</v>
      </c>
      <c r="F4848" s="38">
        <v>39140</v>
      </c>
      <c r="G4848" s="38" t="s">
        <v>667</v>
      </c>
      <c r="H4848" s="25" t="str">
        <f>"平成8年12月17日"</f>
        <v>平成8年12月17日</v>
      </c>
      <c r="I4848" s="39">
        <f t="shared" si="156"/>
        <v>35416</v>
      </c>
      <c r="J4848" s="25" t="str">
        <f>"00744335"</f>
        <v>00744335</v>
      </c>
      <c r="K4848" s="25" t="str">
        <f>"４７７　　　　　　　　　　　　　　　　　"</f>
        <v>４７７　　　　　　　　　　　　　　　　　</v>
      </c>
      <c r="L4848" s="25"/>
    </row>
    <row r="4849" spans="1:12" s="40" customFormat="1" ht="18" customHeight="1" x14ac:dyDescent="0.15">
      <c r="A4849" s="25">
        <v>3936</v>
      </c>
      <c r="B4849" s="25" t="s">
        <v>67</v>
      </c>
      <c r="C4849" s="25" t="s">
        <v>240</v>
      </c>
      <c r="D4849" s="25">
        <v>1</v>
      </c>
      <c r="E4849" s="25" t="s">
        <v>4</v>
      </c>
      <c r="F4849" s="38">
        <v>39140</v>
      </c>
      <c r="G4849" s="38" t="s">
        <v>667</v>
      </c>
      <c r="H4849" s="25" t="str">
        <f>"平成8年12月17日"</f>
        <v>平成8年12月17日</v>
      </c>
      <c r="I4849" s="39">
        <f t="shared" si="156"/>
        <v>35416</v>
      </c>
      <c r="J4849" s="25" t="str">
        <f>"00744336"</f>
        <v>00744336</v>
      </c>
      <c r="K4849" s="25" t="str">
        <f>"４７８　　　　　　　　　　　　　　　　　"</f>
        <v>４７８　　　　　　　　　　　　　　　　　</v>
      </c>
      <c r="L4849" s="25"/>
    </row>
    <row r="4850" spans="1:12" ht="18" customHeight="1" x14ac:dyDescent="0.15">
      <c r="A4850" s="1">
        <v>4965</v>
      </c>
      <c r="B4850" s="11" t="s">
        <v>502</v>
      </c>
      <c r="C4850" s="11" t="s">
        <v>518</v>
      </c>
      <c r="D4850" s="11">
        <v>1</v>
      </c>
      <c r="E4850" s="11" t="s">
        <v>61</v>
      </c>
      <c r="F4850" s="12">
        <v>92700</v>
      </c>
      <c r="G4850" s="12">
        <v>92700</v>
      </c>
      <c r="H4850" s="11" t="str">
        <f>"平成9年3月26日"</f>
        <v>平成9年3月26日</v>
      </c>
      <c r="I4850" s="22">
        <f t="shared" si="156"/>
        <v>35515</v>
      </c>
      <c r="J4850" s="1" t="str">
        <f>"00747155"</f>
        <v>00747155</v>
      </c>
      <c r="K4850" s="1" t="str">
        <f>"４４３　　　　　　　　　　　　　　　　　"</f>
        <v>４４３　　　　　　　　　　　　　　　　　</v>
      </c>
      <c r="L4850" s="1"/>
    </row>
    <row r="4851" spans="1:12" ht="18" customHeight="1" x14ac:dyDescent="0.15">
      <c r="A4851" s="1">
        <v>4966</v>
      </c>
      <c r="B4851" s="11" t="s">
        <v>502</v>
      </c>
      <c r="C4851" s="11" t="s">
        <v>518</v>
      </c>
      <c r="D4851" s="11">
        <v>1</v>
      </c>
      <c r="E4851" s="11" t="s">
        <v>61</v>
      </c>
      <c r="F4851" s="12">
        <v>92700</v>
      </c>
      <c r="G4851" s="12">
        <v>92700</v>
      </c>
      <c r="H4851" s="11" t="str">
        <f>"平成9年3月26日"</f>
        <v>平成9年3月26日</v>
      </c>
      <c r="I4851" s="22">
        <f t="shared" si="156"/>
        <v>35515</v>
      </c>
      <c r="J4851" s="1" t="str">
        <f>"00747157"</f>
        <v>00747157</v>
      </c>
      <c r="K4851" s="1" t="str">
        <f>"４４４　　　　　　　　　　　　　　　　　"</f>
        <v>４４４　　　　　　　　　　　　　　　　　</v>
      </c>
      <c r="L4851" s="1"/>
    </row>
    <row r="4852" spans="1:12" ht="18" customHeight="1" x14ac:dyDescent="0.15">
      <c r="A4852" s="11">
        <v>1096</v>
      </c>
      <c r="B4852" s="11" t="s">
        <v>28</v>
      </c>
      <c r="C4852" s="11" t="s">
        <v>147</v>
      </c>
      <c r="D4852" s="11">
        <v>1</v>
      </c>
      <c r="E4852" s="11" t="s">
        <v>4</v>
      </c>
      <c r="F4852" s="12">
        <v>64684</v>
      </c>
      <c r="G4852" s="12">
        <v>64684</v>
      </c>
      <c r="H4852" s="11" t="str">
        <f t="shared" ref="H4852:H4891" si="157">"平成9年3月31日"</f>
        <v>平成9年3月31日</v>
      </c>
      <c r="I4852" s="22">
        <f t="shared" si="156"/>
        <v>35520</v>
      </c>
      <c r="J4852" s="1" t="str">
        <f>"00738568"</f>
        <v>00738568</v>
      </c>
      <c r="K4852" s="1" t="str">
        <f>"１６０５　　　　　　　　　　　　　　　　"</f>
        <v>１６０５　　　　　　　　　　　　　　　　</v>
      </c>
      <c r="L4852" s="1"/>
    </row>
    <row r="4853" spans="1:12" ht="18" customHeight="1" x14ac:dyDescent="0.15">
      <c r="A4853" s="11">
        <v>1097</v>
      </c>
      <c r="B4853" s="11" t="s">
        <v>28</v>
      </c>
      <c r="C4853" s="11" t="s">
        <v>147</v>
      </c>
      <c r="D4853" s="11">
        <v>1</v>
      </c>
      <c r="E4853" s="11" t="s">
        <v>4</v>
      </c>
      <c r="F4853" s="12">
        <v>64684</v>
      </c>
      <c r="G4853" s="12">
        <v>64684</v>
      </c>
      <c r="H4853" s="11" t="str">
        <f t="shared" si="157"/>
        <v>平成9年3月31日</v>
      </c>
      <c r="I4853" s="22">
        <f t="shared" si="156"/>
        <v>35520</v>
      </c>
      <c r="J4853" s="1" t="str">
        <f>"00738571"</f>
        <v>00738571</v>
      </c>
      <c r="K4853" s="1" t="str">
        <f>"１６０６　　　　　　　　　　　　　　　　"</f>
        <v>１６０６　　　　　　　　　　　　　　　　</v>
      </c>
      <c r="L4853" s="1"/>
    </row>
    <row r="4854" spans="1:12" ht="18" customHeight="1" x14ac:dyDescent="0.15">
      <c r="A4854" s="11">
        <v>1098</v>
      </c>
      <c r="B4854" s="11" t="s">
        <v>28</v>
      </c>
      <c r="C4854" s="11" t="s">
        <v>147</v>
      </c>
      <c r="D4854" s="11">
        <v>1</v>
      </c>
      <c r="E4854" s="11" t="s">
        <v>4</v>
      </c>
      <c r="F4854" s="12">
        <v>64684</v>
      </c>
      <c r="G4854" s="12">
        <v>64684</v>
      </c>
      <c r="H4854" s="11" t="str">
        <f t="shared" si="157"/>
        <v>平成9年3月31日</v>
      </c>
      <c r="I4854" s="22">
        <f t="shared" si="156"/>
        <v>35520</v>
      </c>
      <c r="J4854" s="1" t="str">
        <f>"00738573"</f>
        <v>00738573</v>
      </c>
      <c r="K4854" s="1" t="str">
        <f>"１６０７　　　　　　　　　　　　　　　　"</f>
        <v>１６０７　　　　　　　　　　　　　　　　</v>
      </c>
      <c r="L4854" s="1"/>
    </row>
    <row r="4855" spans="1:12" ht="18" customHeight="1" x14ac:dyDescent="0.15">
      <c r="A4855" s="11">
        <v>1099</v>
      </c>
      <c r="B4855" s="11" t="s">
        <v>28</v>
      </c>
      <c r="C4855" s="11" t="s">
        <v>147</v>
      </c>
      <c r="D4855" s="11">
        <v>1</v>
      </c>
      <c r="E4855" s="11" t="s">
        <v>4</v>
      </c>
      <c r="F4855" s="12">
        <v>64684</v>
      </c>
      <c r="G4855" s="12">
        <v>64684</v>
      </c>
      <c r="H4855" s="11" t="str">
        <f t="shared" si="157"/>
        <v>平成9年3月31日</v>
      </c>
      <c r="I4855" s="22">
        <f t="shared" si="156"/>
        <v>35520</v>
      </c>
      <c r="J4855" s="1" t="str">
        <f>"00738575"</f>
        <v>00738575</v>
      </c>
      <c r="K4855" s="1" t="str">
        <f>"１６０８　　　　　　　　　　　　　　　　"</f>
        <v>１６０８　　　　　　　　　　　　　　　　</v>
      </c>
      <c r="L4855" s="1"/>
    </row>
    <row r="4856" spans="1:12" ht="18" customHeight="1" x14ac:dyDescent="0.15">
      <c r="A4856" s="11">
        <v>1100</v>
      </c>
      <c r="B4856" s="11" t="s">
        <v>28</v>
      </c>
      <c r="C4856" s="11" t="s">
        <v>147</v>
      </c>
      <c r="D4856" s="11">
        <v>1</v>
      </c>
      <c r="E4856" s="11" t="s">
        <v>4</v>
      </c>
      <c r="F4856" s="12">
        <v>64684</v>
      </c>
      <c r="G4856" s="12">
        <v>64684</v>
      </c>
      <c r="H4856" s="11" t="str">
        <f t="shared" si="157"/>
        <v>平成9年3月31日</v>
      </c>
      <c r="I4856" s="22">
        <f t="shared" si="156"/>
        <v>35520</v>
      </c>
      <c r="J4856" s="1" t="str">
        <f>"00738577"</f>
        <v>00738577</v>
      </c>
      <c r="K4856" s="1" t="str">
        <f>"１６０９　　　　　　　　　　　　　　　　"</f>
        <v>１６０９　　　　　　　　　　　　　　　　</v>
      </c>
      <c r="L4856" s="1"/>
    </row>
    <row r="4857" spans="1:12" ht="18" customHeight="1" x14ac:dyDescent="0.15">
      <c r="A4857" s="11">
        <v>1101</v>
      </c>
      <c r="B4857" s="11" t="s">
        <v>28</v>
      </c>
      <c r="C4857" s="11" t="s">
        <v>147</v>
      </c>
      <c r="D4857" s="11">
        <v>1</v>
      </c>
      <c r="E4857" s="11" t="s">
        <v>4</v>
      </c>
      <c r="F4857" s="12">
        <v>64684</v>
      </c>
      <c r="G4857" s="12">
        <v>64684</v>
      </c>
      <c r="H4857" s="11" t="str">
        <f t="shared" si="157"/>
        <v>平成9年3月31日</v>
      </c>
      <c r="I4857" s="22">
        <f t="shared" si="156"/>
        <v>35520</v>
      </c>
      <c r="J4857" s="1" t="str">
        <f>"00738579"</f>
        <v>00738579</v>
      </c>
      <c r="K4857" s="1" t="str">
        <f>"１６１０　　　　　　　　　　　　　　　　"</f>
        <v>１６１０　　　　　　　　　　　　　　　　</v>
      </c>
      <c r="L4857" s="1"/>
    </row>
    <row r="4858" spans="1:12" ht="18" customHeight="1" x14ac:dyDescent="0.15">
      <c r="A4858" s="11">
        <v>1102</v>
      </c>
      <c r="B4858" s="11" t="s">
        <v>28</v>
      </c>
      <c r="C4858" s="11" t="s">
        <v>147</v>
      </c>
      <c r="D4858" s="11">
        <v>1</v>
      </c>
      <c r="E4858" s="11" t="s">
        <v>4</v>
      </c>
      <c r="F4858" s="12">
        <v>64684</v>
      </c>
      <c r="G4858" s="12">
        <v>64684</v>
      </c>
      <c r="H4858" s="11" t="str">
        <f t="shared" si="157"/>
        <v>平成9年3月31日</v>
      </c>
      <c r="I4858" s="22">
        <f t="shared" si="156"/>
        <v>35520</v>
      </c>
      <c r="J4858" s="1" t="str">
        <f>"00738581"</f>
        <v>00738581</v>
      </c>
      <c r="K4858" s="1" t="str">
        <f>"１６１１　　　　　　　　　　　　　　　　"</f>
        <v>１６１１　　　　　　　　　　　　　　　　</v>
      </c>
      <c r="L4858" s="1"/>
    </row>
    <row r="4859" spans="1:12" ht="18" customHeight="1" x14ac:dyDescent="0.15">
      <c r="A4859" s="11">
        <v>1103</v>
      </c>
      <c r="B4859" s="11" t="s">
        <v>28</v>
      </c>
      <c r="C4859" s="11" t="s">
        <v>147</v>
      </c>
      <c r="D4859" s="11">
        <v>1</v>
      </c>
      <c r="E4859" s="11" t="s">
        <v>4</v>
      </c>
      <c r="F4859" s="12">
        <v>64684</v>
      </c>
      <c r="G4859" s="12">
        <v>64684</v>
      </c>
      <c r="H4859" s="11" t="str">
        <f t="shared" si="157"/>
        <v>平成9年3月31日</v>
      </c>
      <c r="I4859" s="22">
        <f t="shared" si="156"/>
        <v>35520</v>
      </c>
      <c r="J4859" s="1" t="str">
        <f>"00738583"</f>
        <v>00738583</v>
      </c>
      <c r="K4859" s="1" t="str">
        <f>"１６１２　　　　　　　　　　　　　　　　"</f>
        <v>１６１２　　　　　　　　　　　　　　　　</v>
      </c>
      <c r="L4859" s="1"/>
    </row>
    <row r="4860" spans="1:12" ht="18" customHeight="1" x14ac:dyDescent="0.15">
      <c r="A4860" s="11">
        <v>1104</v>
      </c>
      <c r="B4860" s="11" t="s">
        <v>28</v>
      </c>
      <c r="C4860" s="11" t="s">
        <v>147</v>
      </c>
      <c r="D4860" s="11">
        <v>1</v>
      </c>
      <c r="E4860" s="11" t="s">
        <v>4</v>
      </c>
      <c r="F4860" s="12">
        <v>64684</v>
      </c>
      <c r="G4860" s="12">
        <v>64684</v>
      </c>
      <c r="H4860" s="11" t="str">
        <f t="shared" si="157"/>
        <v>平成9年3月31日</v>
      </c>
      <c r="I4860" s="22">
        <f t="shared" si="156"/>
        <v>35520</v>
      </c>
      <c r="J4860" s="1" t="str">
        <f>"00738585"</f>
        <v>00738585</v>
      </c>
      <c r="K4860" s="1" t="str">
        <f>"１６１３　　　　　　　　　　　　　　　　"</f>
        <v>１６１３　　　　　　　　　　　　　　　　</v>
      </c>
      <c r="L4860" s="1"/>
    </row>
    <row r="4861" spans="1:12" ht="18" customHeight="1" x14ac:dyDescent="0.15">
      <c r="A4861" s="11">
        <v>1105</v>
      </c>
      <c r="B4861" s="11" t="s">
        <v>28</v>
      </c>
      <c r="C4861" s="11" t="s">
        <v>147</v>
      </c>
      <c r="D4861" s="11">
        <v>1</v>
      </c>
      <c r="E4861" s="11" t="s">
        <v>4</v>
      </c>
      <c r="F4861" s="12">
        <v>64684</v>
      </c>
      <c r="G4861" s="12">
        <v>64684</v>
      </c>
      <c r="H4861" s="11" t="str">
        <f t="shared" si="157"/>
        <v>平成9年3月31日</v>
      </c>
      <c r="I4861" s="22">
        <f t="shared" si="156"/>
        <v>35520</v>
      </c>
      <c r="J4861" s="1" t="str">
        <f>"00738587"</f>
        <v>00738587</v>
      </c>
      <c r="K4861" s="1" t="str">
        <f>"１６１４　　　　　　　　　　　　　　　　"</f>
        <v>１６１４　　　　　　　　　　　　　　　　</v>
      </c>
      <c r="L4861" s="1"/>
    </row>
    <row r="4862" spans="1:12" ht="18" customHeight="1" x14ac:dyDescent="0.15">
      <c r="A4862" s="11">
        <v>1106</v>
      </c>
      <c r="B4862" s="11" t="s">
        <v>28</v>
      </c>
      <c r="C4862" s="11" t="s">
        <v>147</v>
      </c>
      <c r="D4862" s="11">
        <v>1</v>
      </c>
      <c r="E4862" s="11" t="s">
        <v>4</v>
      </c>
      <c r="F4862" s="12">
        <v>64684</v>
      </c>
      <c r="G4862" s="12">
        <v>64684</v>
      </c>
      <c r="H4862" s="11" t="str">
        <f t="shared" si="157"/>
        <v>平成9年3月31日</v>
      </c>
      <c r="I4862" s="22">
        <f t="shared" si="156"/>
        <v>35520</v>
      </c>
      <c r="J4862" s="1" t="str">
        <f>"00738589"</f>
        <v>00738589</v>
      </c>
      <c r="K4862" s="1" t="str">
        <f>"１６１５　　　　　　　　　　　　　　　　"</f>
        <v>１６１５　　　　　　　　　　　　　　　　</v>
      </c>
      <c r="L4862" s="1"/>
    </row>
    <row r="4863" spans="1:12" ht="18" customHeight="1" x14ac:dyDescent="0.15">
      <c r="A4863" s="11">
        <v>1107</v>
      </c>
      <c r="B4863" s="11" t="s">
        <v>28</v>
      </c>
      <c r="C4863" s="11" t="s">
        <v>148</v>
      </c>
      <c r="D4863" s="11">
        <v>1</v>
      </c>
      <c r="E4863" s="11" t="s">
        <v>4</v>
      </c>
      <c r="F4863" s="12">
        <v>36874</v>
      </c>
      <c r="G4863" s="12">
        <v>36874</v>
      </c>
      <c r="H4863" s="11" t="str">
        <f t="shared" si="157"/>
        <v>平成9年3月31日</v>
      </c>
      <c r="I4863" s="22">
        <f t="shared" si="156"/>
        <v>35520</v>
      </c>
      <c r="J4863" s="1" t="str">
        <f>"00738601"</f>
        <v>00738601</v>
      </c>
      <c r="K4863" s="1" t="str">
        <f>"１６２２　　　　　　　　　　　　　　　　"</f>
        <v>１６２２　　　　　　　　　　　　　　　　</v>
      </c>
      <c r="L4863" s="1"/>
    </row>
    <row r="4864" spans="1:12" ht="18" customHeight="1" x14ac:dyDescent="0.15">
      <c r="A4864" s="11">
        <v>1108</v>
      </c>
      <c r="B4864" s="11" t="s">
        <v>28</v>
      </c>
      <c r="C4864" s="11" t="s">
        <v>148</v>
      </c>
      <c r="D4864" s="11">
        <v>1</v>
      </c>
      <c r="E4864" s="11" t="s">
        <v>4</v>
      </c>
      <c r="F4864" s="12">
        <v>36874</v>
      </c>
      <c r="G4864" s="12">
        <v>36874</v>
      </c>
      <c r="H4864" s="11" t="str">
        <f t="shared" si="157"/>
        <v>平成9年3月31日</v>
      </c>
      <c r="I4864" s="22">
        <f t="shared" si="156"/>
        <v>35520</v>
      </c>
      <c r="J4864" s="1" t="str">
        <f>"00738603"</f>
        <v>00738603</v>
      </c>
      <c r="K4864" s="1" t="str">
        <f>"１６２３　　　　　　　　　　　　　　　　"</f>
        <v>１６２３　　　　　　　　　　　　　　　　</v>
      </c>
      <c r="L4864" s="1"/>
    </row>
    <row r="4865" spans="1:12" ht="18" customHeight="1" x14ac:dyDescent="0.15">
      <c r="A4865" s="11">
        <v>1109</v>
      </c>
      <c r="B4865" s="11" t="s">
        <v>28</v>
      </c>
      <c r="C4865" s="11" t="s">
        <v>148</v>
      </c>
      <c r="D4865" s="11">
        <v>1</v>
      </c>
      <c r="E4865" s="11" t="s">
        <v>4</v>
      </c>
      <c r="F4865" s="12">
        <v>36874</v>
      </c>
      <c r="G4865" s="12">
        <v>36874</v>
      </c>
      <c r="H4865" s="11" t="str">
        <f t="shared" si="157"/>
        <v>平成9年3月31日</v>
      </c>
      <c r="I4865" s="22">
        <f t="shared" si="156"/>
        <v>35520</v>
      </c>
      <c r="J4865" s="1" t="str">
        <f>"00738605"</f>
        <v>00738605</v>
      </c>
      <c r="K4865" s="1" t="str">
        <f>"１６２４　　　　　　　　　　　　　　　　"</f>
        <v>１６２４　　　　　　　　　　　　　　　　</v>
      </c>
      <c r="L4865" s="1"/>
    </row>
    <row r="4866" spans="1:12" ht="18" customHeight="1" x14ac:dyDescent="0.15">
      <c r="A4866" s="11">
        <v>1110</v>
      </c>
      <c r="B4866" s="11" t="s">
        <v>28</v>
      </c>
      <c r="C4866" s="11" t="s">
        <v>148</v>
      </c>
      <c r="D4866" s="11">
        <v>1</v>
      </c>
      <c r="E4866" s="11" t="s">
        <v>4</v>
      </c>
      <c r="F4866" s="12">
        <v>36874</v>
      </c>
      <c r="G4866" s="12">
        <v>36874</v>
      </c>
      <c r="H4866" s="11" t="str">
        <f t="shared" si="157"/>
        <v>平成9年3月31日</v>
      </c>
      <c r="I4866" s="22">
        <f t="shared" si="156"/>
        <v>35520</v>
      </c>
      <c r="J4866" s="1" t="str">
        <f>"00738607"</f>
        <v>00738607</v>
      </c>
      <c r="K4866" s="1" t="str">
        <f>"１６２５　　　　　　　　　　　　　　　　"</f>
        <v>１６２５　　　　　　　　　　　　　　　　</v>
      </c>
      <c r="L4866" s="1"/>
    </row>
    <row r="4867" spans="1:12" ht="18" customHeight="1" x14ac:dyDescent="0.15">
      <c r="A4867" s="11">
        <v>1111</v>
      </c>
      <c r="B4867" s="11" t="s">
        <v>28</v>
      </c>
      <c r="C4867" s="11" t="s">
        <v>148</v>
      </c>
      <c r="D4867" s="11">
        <v>1</v>
      </c>
      <c r="E4867" s="11" t="s">
        <v>4</v>
      </c>
      <c r="F4867" s="12">
        <v>36874</v>
      </c>
      <c r="G4867" s="12">
        <v>36874</v>
      </c>
      <c r="H4867" s="11" t="str">
        <f t="shared" si="157"/>
        <v>平成9年3月31日</v>
      </c>
      <c r="I4867" s="22">
        <f t="shared" si="156"/>
        <v>35520</v>
      </c>
      <c r="J4867" s="1" t="str">
        <f>"00738609"</f>
        <v>00738609</v>
      </c>
      <c r="K4867" s="1" t="str">
        <f>"１６２６　　　　　　　　　　　　　　　　"</f>
        <v>１６２６　　　　　　　　　　　　　　　　</v>
      </c>
      <c r="L4867" s="1"/>
    </row>
    <row r="4868" spans="1:12" ht="18" customHeight="1" x14ac:dyDescent="0.15">
      <c r="A4868" s="11">
        <v>1112</v>
      </c>
      <c r="B4868" s="11" t="s">
        <v>28</v>
      </c>
      <c r="C4868" s="11" t="s">
        <v>148</v>
      </c>
      <c r="D4868" s="11">
        <v>1</v>
      </c>
      <c r="E4868" s="11" t="s">
        <v>4</v>
      </c>
      <c r="F4868" s="12">
        <v>36874</v>
      </c>
      <c r="G4868" s="12">
        <v>36874</v>
      </c>
      <c r="H4868" s="11" t="str">
        <f t="shared" si="157"/>
        <v>平成9年3月31日</v>
      </c>
      <c r="I4868" s="22">
        <f t="shared" si="156"/>
        <v>35520</v>
      </c>
      <c r="J4868" s="1" t="str">
        <f>"00738611"</f>
        <v>00738611</v>
      </c>
      <c r="K4868" s="1" t="str">
        <f>"１６２７　　　　　　　　　　　　　　　　"</f>
        <v>１６２７　　　　　　　　　　　　　　　　</v>
      </c>
      <c r="L4868" s="1"/>
    </row>
    <row r="4869" spans="1:12" ht="18" customHeight="1" x14ac:dyDescent="0.15">
      <c r="A4869" s="11">
        <v>1113</v>
      </c>
      <c r="B4869" s="11" t="s">
        <v>28</v>
      </c>
      <c r="C4869" s="11" t="s">
        <v>148</v>
      </c>
      <c r="D4869" s="11">
        <v>1</v>
      </c>
      <c r="E4869" s="11" t="s">
        <v>4</v>
      </c>
      <c r="F4869" s="12">
        <v>36874</v>
      </c>
      <c r="G4869" s="12">
        <v>36874</v>
      </c>
      <c r="H4869" s="11" t="str">
        <f t="shared" si="157"/>
        <v>平成9年3月31日</v>
      </c>
      <c r="I4869" s="22">
        <f t="shared" si="156"/>
        <v>35520</v>
      </c>
      <c r="J4869" s="1" t="str">
        <f>"00738613"</f>
        <v>00738613</v>
      </c>
      <c r="K4869" s="1" t="str">
        <f>"１６２８　　　　　　　　　　　　　　　　"</f>
        <v>１６２８　　　　　　　　　　　　　　　　</v>
      </c>
      <c r="L4869" s="1"/>
    </row>
    <row r="4870" spans="1:12" ht="18" customHeight="1" x14ac:dyDescent="0.15">
      <c r="A4870" s="11">
        <v>1114</v>
      </c>
      <c r="B4870" s="11" t="s">
        <v>28</v>
      </c>
      <c r="C4870" s="11" t="s">
        <v>148</v>
      </c>
      <c r="D4870" s="11">
        <v>1</v>
      </c>
      <c r="E4870" s="11" t="s">
        <v>4</v>
      </c>
      <c r="F4870" s="12">
        <v>36874</v>
      </c>
      <c r="G4870" s="12">
        <v>36874</v>
      </c>
      <c r="H4870" s="11" t="str">
        <f t="shared" si="157"/>
        <v>平成9年3月31日</v>
      </c>
      <c r="I4870" s="22">
        <f t="shared" si="156"/>
        <v>35520</v>
      </c>
      <c r="J4870" s="1" t="str">
        <f>"00738615"</f>
        <v>00738615</v>
      </c>
      <c r="K4870" s="1" t="str">
        <f>"１６２９　　　　　　　　　　　　　　　　"</f>
        <v>１６２９　　　　　　　　　　　　　　　　</v>
      </c>
      <c r="L4870" s="1"/>
    </row>
    <row r="4871" spans="1:12" ht="18" customHeight="1" x14ac:dyDescent="0.15">
      <c r="A4871" s="11">
        <v>1115</v>
      </c>
      <c r="B4871" s="11" t="s">
        <v>28</v>
      </c>
      <c r="C4871" s="11" t="s">
        <v>148</v>
      </c>
      <c r="D4871" s="11">
        <v>1</v>
      </c>
      <c r="E4871" s="11" t="s">
        <v>4</v>
      </c>
      <c r="F4871" s="12">
        <v>36874</v>
      </c>
      <c r="G4871" s="12">
        <v>36874</v>
      </c>
      <c r="H4871" s="11" t="str">
        <f t="shared" si="157"/>
        <v>平成9年3月31日</v>
      </c>
      <c r="I4871" s="22">
        <f t="shared" si="156"/>
        <v>35520</v>
      </c>
      <c r="J4871" s="1" t="str">
        <f>"00738617"</f>
        <v>00738617</v>
      </c>
      <c r="K4871" s="1" t="str">
        <f>"１６３０　　　　　　　　　　　　　　　　"</f>
        <v>１６３０　　　　　　　　　　　　　　　　</v>
      </c>
      <c r="L4871" s="1"/>
    </row>
    <row r="4872" spans="1:12" ht="18" customHeight="1" x14ac:dyDescent="0.15">
      <c r="A4872" s="11">
        <v>1116</v>
      </c>
      <c r="B4872" s="11" t="s">
        <v>28</v>
      </c>
      <c r="C4872" s="11" t="s">
        <v>148</v>
      </c>
      <c r="D4872" s="11">
        <v>1</v>
      </c>
      <c r="E4872" s="11" t="s">
        <v>4</v>
      </c>
      <c r="F4872" s="12">
        <v>36874</v>
      </c>
      <c r="G4872" s="12">
        <v>36874</v>
      </c>
      <c r="H4872" s="11" t="str">
        <f t="shared" si="157"/>
        <v>平成9年3月31日</v>
      </c>
      <c r="I4872" s="22">
        <f t="shared" si="156"/>
        <v>35520</v>
      </c>
      <c r="J4872" s="1" t="str">
        <f>"00738619"</f>
        <v>00738619</v>
      </c>
      <c r="K4872" s="1" t="str">
        <f>"１６３１　　　　　　　　　　　　　　　　"</f>
        <v>１６３１　　　　　　　　　　　　　　　　</v>
      </c>
      <c r="L4872" s="1"/>
    </row>
    <row r="4873" spans="1:12" ht="18" customHeight="1" x14ac:dyDescent="0.15">
      <c r="A4873" s="11">
        <v>1117</v>
      </c>
      <c r="B4873" s="11" t="s">
        <v>28</v>
      </c>
      <c r="C4873" s="11" t="s">
        <v>148</v>
      </c>
      <c r="D4873" s="11">
        <v>1</v>
      </c>
      <c r="E4873" s="11" t="s">
        <v>4</v>
      </c>
      <c r="F4873" s="12">
        <v>36874</v>
      </c>
      <c r="G4873" s="12">
        <v>36874</v>
      </c>
      <c r="H4873" s="11" t="str">
        <f t="shared" si="157"/>
        <v>平成9年3月31日</v>
      </c>
      <c r="I4873" s="22">
        <f t="shared" si="156"/>
        <v>35520</v>
      </c>
      <c r="J4873" s="1" t="str">
        <f>"00738621"</f>
        <v>00738621</v>
      </c>
      <c r="K4873" s="1" t="str">
        <f>"１６３２　　　　　　　　　　　　　　　　"</f>
        <v>１６３２　　　　　　　　　　　　　　　　</v>
      </c>
      <c r="L4873" s="1"/>
    </row>
    <row r="4874" spans="1:12" ht="18" customHeight="1" x14ac:dyDescent="0.15">
      <c r="A4874" s="11">
        <v>1118</v>
      </c>
      <c r="B4874" s="11" t="s">
        <v>28</v>
      </c>
      <c r="C4874" s="11" t="s">
        <v>148</v>
      </c>
      <c r="D4874" s="11">
        <v>1</v>
      </c>
      <c r="E4874" s="11" t="s">
        <v>4</v>
      </c>
      <c r="F4874" s="12">
        <v>36874</v>
      </c>
      <c r="G4874" s="12">
        <v>36874</v>
      </c>
      <c r="H4874" s="11" t="str">
        <f t="shared" si="157"/>
        <v>平成9年3月31日</v>
      </c>
      <c r="I4874" s="22">
        <f t="shared" si="156"/>
        <v>35520</v>
      </c>
      <c r="J4874" s="1" t="str">
        <f>"00738623"</f>
        <v>00738623</v>
      </c>
      <c r="K4874" s="1" t="str">
        <f>"１６３３　　　　　　　　　　　　　　　　"</f>
        <v>１６３３　　　　　　　　　　　　　　　　</v>
      </c>
      <c r="L4874" s="1"/>
    </row>
    <row r="4875" spans="1:12" ht="18" customHeight="1" x14ac:dyDescent="0.15">
      <c r="A4875" s="11">
        <v>1119</v>
      </c>
      <c r="B4875" s="11" t="s">
        <v>28</v>
      </c>
      <c r="C4875" s="11" t="s">
        <v>148</v>
      </c>
      <c r="D4875" s="11">
        <v>1</v>
      </c>
      <c r="E4875" s="11" t="s">
        <v>4</v>
      </c>
      <c r="F4875" s="12">
        <v>36874</v>
      </c>
      <c r="G4875" s="12">
        <v>36874</v>
      </c>
      <c r="H4875" s="11" t="str">
        <f t="shared" si="157"/>
        <v>平成9年3月31日</v>
      </c>
      <c r="I4875" s="22">
        <f t="shared" si="156"/>
        <v>35520</v>
      </c>
      <c r="J4875" s="1" t="str">
        <f>"00738625"</f>
        <v>00738625</v>
      </c>
      <c r="K4875" s="1" t="str">
        <f>"１６３４　　　　　　　　　　　　　　　　"</f>
        <v>１６３４　　　　　　　　　　　　　　　　</v>
      </c>
      <c r="L4875" s="1"/>
    </row>
    <row r="4876" spans="1:12" ht="18" customHeight="1" x14ac:dyDescent="0.15">
      <c r="A4876" s="11">
        <v>1120</v>
      </c>
      <c r="B4876" s="11" t="s">
        <v>28</v>
      </c>
      <c r="C4876" s="11" t="s">
        <v>148</v>
      </c>
      <c r="D4876" s="11">
        <v>1</v>
      </c>
      <c r="E4876" s="11" t="s">
        <v>4</v>
      </c>
      <c r="F4876" s="12">
        <v>36874</v>
      </c>
      <c r="G4876" s="12">
        <v>36874</v>
      </c>
      <c r="H4876" s="11" t="str">
        <f t="shared" si="157"/>
        <v>平成9年3月31日</v>
      </c>
      <c r="I4876" s="22">
        <f t="shared" si="156"/>
        <v>35520</v>
      </c>
      <c r="J4876" s="1" t="str">
        <f>"00738627"</f>
        <v>00738627</v>
      </c>
      <c r="K4876" s="1" t="str">
        <f>"１６３５　　　　　　　　　　　　　　　　"</f>
        <v>１６３５　　　　　　　　　　　　　　　　</v>
      </c>
      <c r="L4876" s="1"/>
    </row>
    <row r="4877" spans="1:12" ht="18" customHeight="1" x14ac:dyDescent="0.15">
      <c r="A4877" s="11">
        <v>1121</v>
      </c>
      <c r="B4877" s="11" t="s">
        <v>28</v>
      </c>
      <c r="C4877" s="11" t="s">
        <v>148</v>
      </c>
      <c r="D4877" s="11">
        <v>1</v>
      </c>
      <c r="E4877" s="11" t="s">
        <v>4</v>
      </c>
      <c r="F4877" s="12">
        <v>36874</v>
      </c>
      <c r="G4877" s="12">
        <v>36874</v>
      </c>
      <c r="H4877" s="11" t="str">
        <f t="shared" si="157"/>
        <v>平成9年3月31日</v>
      </c>
      <c r="I4877" s="22">
        <f t="shared" si="156"/>
        <v>35520</v>
      </c>
      <c r="J4877" s="1" t="str">
        <f>"00738629"</f>
        <v>00738629</v>
      </c>
      <c r="K4877" s="1" t="str">
        <f>"１６３６　　　　　　　　　　　　　　　　"</f>
        <v>１６３６　　　　　　　　　　　　　　　　</v>
      </c>
      <c r="L4877" s="1"/>
    </row>
    <row r="4878" spans="1:12" ht="18" customHeight="1" x14ac:dyDescent="0.15">
      <c r="A4878" s="11">
        <v>1122</v>
      </c>
      <c r="B4878" s="11" t="s">
        <v>28</v>
      </c>
      <c r="C4878" s="11" t="s">
        <v>148</v>
      </c>
      <c r="D4878" s="11">
        <v>1</v>
      </c>
      <c r="E4878" s="11" t="s">
        <v>4</v>
      </c>
      <c r="F4878" s="12">
        <v>36874</v>
      </c>
      <c r="G4878" s="12">
        <v>36874</v>
      </c>
      <c r="H4878" s="11" t="str">
        <f t="shared" si="157"/>
        <v>平成9年3月31日</v>
      </c>
      <c r="I4878" s="22">
        <f t="shared" si="156"/>
        <v>35520</v>
      </c>
      <c r="J4878" s="1" t="str">
        <f>"00738631"</f>
        <v>00738631</v>
      </c>
      <c r="K4878" s="1" t="str">
        <f>"１６３７　　　　　　　　　　　　　　　　"</f>
        <v>１６３７　　　　　　　　　　　　　　　　</v>
      </c>
      <c r="L4878" s="1"/>
    </row>
    <row r="4879" spans="1:12" ht="18" customHeight="1" x14ac:dyDescent="0.15">
      <c r="A4879" s="11">
        <v>1123</v>
      </c>
      <c r="B4879" s="11" t="s">
        <v>28</v>
      </c>
      <c r="C4879" s="11" t="s">
        <v>148</v>
      </c>
      <c r="D4879" s="11">
        <v>1</v>
      </c>
      <c r="E4879" s="11" t="s">
        <v>4</v>
      </c>
      <c r="F4879" s="12">
        <v>36874</v>
      </c>
      <c r="G4879" s="12">
        <v>36874</v>
      </c>
      <c r="H4879" s="11" t="str">
        <f t="shared" si="157"/>
        <v>平成9年3月31日</v>
      </c>
      <c r="I4879" s="22">
        <f t="shared" si="156"/>
        <v>35520</v>
      </c>
      <c r="J4879" s="1" t="str">
        <f>"00738633"</f>
        <v>00738633</v>
      </c>
      <c r="K4879" s="1" t="str">
        <f>"１６３８　　　　　　　　　　　　　　　　"</f>
        <v>１６３８　　　　　　　　　　　　　　　　</v>
      </c>
      <c r="L4879" s="1"/>
    </row>
    <row r="4880" spans="1:12" ht="18" customHeight="1" x14ac:dyDescent="0.15">
      <c r="A4880" s="11">
        <v>1124</v>
      </c>
      <c r="B4880" s="11" t="s">
        <v>28</v>
      </c>
      <c r="C4880" s="11" t="s">
        <v>148</v>
      </c>
      <c r="D4880" s="11">
        <v>1</v>
      </c>
      <c r="E4880" s="11" t="s">
        <v>4</v>
      </c>
      <c r="F4880" s="12">
        <v>36874</v>
      </c>
      <c r="G4880" s="12">
        <v>36874</v>
      </c>
      <c r="H4880" s="11" t="str">
        <f t="shared" si="157"/>
        <v>平成9年3月31日</v>
      </c>
      <c r="I4880" s="22">
        <f t="shared" si="156"/>
        <v>35520</v>
      </c>
      <c r="J4880" s="1" t="str">
        <f>"00738635"</f>
        <v>00738635</v>
      </c>
      <c r="K4880" s="1" t="str">
        <f>"１６３９　　　　　　　　　　　　　　　　"</f>
        <v>１６３９　　　　　　　　　　　　　　　　</v>
      </c>
      <c r="L4880" s="1"/>
    </row>
    <row r="4881" spans="1:12" ht="18" customHeight="1" x14ac:dyDescent="0.15">
      <c r="A4881" s="11">
        <v>1125</v>
      </c>
      <c r="B4881" s="11" t="s">
        <v>28</v>
      </c>
      <c r="C4881" s="11" t="s">
        <v>148</v>
      </c>
      <c r="D4881" s="11">
        <v>1</v>
      </c>
      <c r="E4881" s="11" t="s">
        <v>4</v>
      </c>
      <c r="F4881" s="12">
        <v>36874</v>
      </c>
      <c r="G4881" s="12">
        <v>36874</v>
      </c>
      <c r="H4881" s="11" t="str">
        <f t="shared" si="157"/>
        <v>平成9年3月31日</v>
      </c>
      <c r="I4881" s="22">
        <f t="shared" si="156"/>
        <v>35520</v>
      </c>
      <c r="J4881" s="1" t="str">
        <f>"00738637"</f>
        <v>00738637</v>
      </c>
      <c r="K4881" s="1" t="str">
        <f>"１６４０　　　　　　　　　　　　　　　　"</f>
        <v>１６４０　　　　　　　　　　　　　　　　</v>
      </c>
      <c r="L4881" s="1"/>
    </row>
    <row r="4882" spans="1:12" ht="18" customHeight="1" x14ac:dyDescent="0.15">
      <c r="A4882" s="11">
        <v>1126</v>
      </c>
      <c r="B4882" s="11" t="s">
        <v>28</v>
      </c>
      <c r="C4882" s="11" t="s">
        <v>148</v>
      </c>
      <c r="D4882" s="11">
        <v>1</v>
      </c>
      <c r="E4882" s="11" t="s">
        <v>4</v>
      </c>
      <c r="F4882" s="12">
        <v>36874</v>
      </c>
      <c r="G4882" s="12">
        <v>36874</v>
      </c>
      <c r="H4882" s="11" t="str">
        <f t="shared" si="157"/>
        <v>平成9年3月31日</v>
      </c>
      <c r="I4882" s="22">
        <f t="shared" ref="I4882:I4891" si="158">DATEVALUE(H4882)</f>
        <v>35520</v>
      </c>
      <c r="J4882" s="1" t="str">
        <f>"00738639"</f>
        <v>00738639</v>
      </c>
      <c r="K4882" s="1" t="str">
        <f>"１６４１　　　　　　　　　　　　　　　　"</f>
        <v>１６４１　　　　　　　　　　　　　　　　</v>
      </c>
      <c r="L4882" s="1"/>
    </row>
    <row r="4883" spans="1:12" ht="18" customHeight="1" x14ac:dyDescent="0.15">
      <c r="A4883" s="11">
        <v>1127</v>
      </c>
      <c r="B4883" s="11" t="s">
        <v>28</v>
      </c>
      <c r="C4883" s="11" t="s">
        <v>148</v>
      </c>
      <c r="D4883" s="11">
        <v>1</v>
      </c>
      <c r="E4883" s="11" t="s">
        <v>4</v>
      </c>
      <c r="F4883" s="12">
        <v>36874</v>
      </c>
      <c r="G4883" s="12">
        <v>36874</v>
      </c>
      <c r="H4883" s="11" t="str">
        <f t="shared" si="157"/>
        <v>平成9年3月31日</v>
      </c>
      <c r="I4883" s="22">
        <f t="shared" si="158"/>
        <v>35520</v>
      </c>
      <c r="J4883" s="1" t="str">
        <f>"00738641"</f>
        <v>00738641</v>
      </c>
      <c r="K4883" s="1" t="str">
        <f>"１６４２　　　　　　　　　　　　　　　　"</f>
        <v>１６４２　　　　　　　　　　　　　　　　</v>
      </c>
      <c r="L4883" s="1"/>
    </row>
    <row r="4884" spans="1:12" ht="18" customHeight="1" x14ac:dyDescent="0.15">
      <c r="A4884" s="11">
        <v>1128</v>
      </c>
      <c r="B4884" s="11" t="s">
        <v>28</v>
      </c>
      <c r="C4884" s="11" t="s">
        <v>148</v>
      </c>
      <c r="D4884" s="11">
        <v>1</v>
      </c>
      <c r="E4884" s="11" t="s">
        <v>4</v>
      </c>
      <c r="F4884" s="12">
        <v>36874</v>
      </c>
      <c r="G4884" s="12">
        <v>36874</v>
      </c>
      <c r="H4884" s="11" t="str">
        <f t="shared" si="157"/>
        <v>平成9年3月31日</v>
      </c>
      <c r="I4884" s="22">
        <f t="shared" si="158"/>
        <v>35520</v>
      </c>
      <c r="J4884" s="1" t="str">
        <f>"00738643"</f>
        <v>00738643</v>
      </c>
      <c r="K4884" s="1" t="str">
        <f>"１６４３　　　　　　　　　　　　　　　　"</f>
        <v>１６４３　　　　　　　　　　　　　　　　</v>
      </c>
      <c r="L4884" s="1"/>
    </row>
    <row r="4885" spans="1:12" ht="18" customHeight="1" x14ac:dyDescent="0.15">
      <c r="A4885" s="25">
        <v>4628</v>
      </c>
      <c r="B4885" s="25" t="s">
        <v>59</v>
      </c>
      <c r="C4885" s="25" t="s">
        <v>393</v>
      </c>
      <c r="D4885" s="25">
        <v>1</v>
      </c>
      <c r="E4885" s="25" t="s">
        <v>21</v>
      </c>
      <c r="F4885" s="38">
        <v>210378</v>
      </c>
      <c r="G4885" s="38" t="s">
        <v>667</v>
      </c>
      <c r="H4885" s="25" t="str">
        <f t="shared" si="157"/>
        <v>平成9年3月31日</v>
      </c>
      <c r="I4885" s="22">
        <f t="shared" si="158"/>
        <v>35520</v>
      </c>
      <c r="J4885" s="1" t="str">
        <f>"00746167"</f>
        <v>00746167</v>
      </c>
      <c r="K4885" s="1" t="str">
        <f>"３３１　　　　　　　　　　　　　　　　　"</f>
        <v>３３１　　　　　　　　　　　　　　　　　</v>
      </c>
      <c r="L4885" s="1"/>
    </row>
    <row r="4886" spans="1:12" ht="18" customHeight="1" x14ac:dyDescent="0.15">
      <c r="A4886" s="1">
        <v>5082</v>
      </c>
      <c r="B4886" s="11" t="s">
        <v>520</v>
      </c>
      <c r="C4886" s="11" t="s">
        <v>525</v>
      </c>
      <c r="D4886" s="11">
        <v>1</v>
      </c>
      <c r="E4886" s="11" t="s">
        <v>21</v>
      </c>
      <c r="F4886" s="12">
        <v>234840</v>
      </c>
      <c r="G4886" s="12">
        <v>234840</v>
      </c>
      <c r="H4886" s="11" t="str">
        <f t="shared" si="157"/>
        <v>平成9年3月31日</v>
      </c>
      <c r="I4886" s="22">
        <f t="shared" si="158"/>
        <v>35520</v>
      </c>
      <c r="J4886" s="1" t="str">
        <f>"00747399"</f>
        <v>00747399</v>
      </c>
      <c r="K4886" s="1" t="str">
        <f>"４１８　　　　　　　　　　　　　　　　　"</f>
        <v>４１８　　　　　　　　　　　　　　　　　</v>
      </c>
      <c r="L4886" s="1"/>
    </row>
    <row r="4887" spans="1:12" ht="18" customHeight="1" x14ac:dyDescent="0.15">
      <c r="A4887" s="1">
        <v>5083</v>
      </c>
      <c r="B4887" s="11" t="s">
        <v>520</v>
      </c>
      <c r="C4887" s="11" t="s">
        <v>525</v>
      </c>
      <c r="D4887" s="11">
        <v>1</v>
      </c>
      <c r="E4887" s="11" t="s">
        <v>21</v>
      </c>
      <c r="F4887" s="12">
        <v>234840</v>
      </c>
      <c r="G4887" s="12">
        <v>234840</v>
      </c>
      <c r="H4887" s="11" t="str">
        <f t="shared" si="157"/>
        <v>平成9年3月31日</v>
      </c>
      <c r="I4887" s="22">
        <f t="shared" si="158"/>
        <v>35520</v>
      </c>
      <c r="J4887" s="1" t="str">
        <f>"00747401"</f>
        <v>00747401</v>
      </c>
      <c r="K4887" s="1" t="str">
        <f>"４１９　　　　　　　　　　　　　　　　　"</f>
        <v>４１９　　　　　　　　　　　　　　　　　</v>
      </c>
      <c r="L4887" s="1"/>
    </row>
    <row r="4888" spans="1:12" ht="18" customHeight="1" x14ac:dyDescent="0.15">
      <c r="A4888" s="1">
        <v>5084</v>
      </c>
      <c r="B4888" s="11" t="s">
        <v>520</v>
      </c>
      <c r="C4888" s="11" t="s">
        <v>525</v>
      </c>
      <c r="D4888" s="11">
        <v>1</v>
      </c>
      <c r="E4888" s="11" t="s">
        <v>21</v>
      </c>
      <c r="F4888" s="12">
        <v>234840</v>
      </c>
      <c r="G4888" s="12">
        <v>234840</v>
      </c>
      <c r="H4888" s="11" t="str">
        <f t="shared" si="157"/>
        <v>平成9年3月31日</v>
      </c>
      <c r="I4888" s="22">
        <f t="shared" si="158"/>
        <v>35520</v>
      </c>
      <c r="J4888" s="1" t="str">
        <f>"00747403"</f>
        <v>00747403</v>
      </c>
      <c r="K4888" s="1" t="str">
        <f>"４２０　　　　　　　　　　　　　　　　　"</f>
        <v>４２０　　　　　　　　　　　　　　　　　</v>
      </c>
      <c r="L4888" s="1"/>
    </row>
    <row r="4889" spans="1:12" ht="18" customHeight="1" x14ac:dyDescent="0.15">
      <c r="A4889" s="1">
        <v>5085</v>
      </c>
      <c r="B4889" s="11" t="s">
        <v>520</v>
      </c>
      <c r="C4889" s="11" t="s">
        <v>525</v>
      </c>
      <c r="D4889" s="11">
        <v>1</v>
      </c>
      <c r="E4889" s="11" t="s">
        <v>21</v>
      </c>
      <c r="F4889" s="12">
        <v>234840</v>
      </c>
      <c r="G4889" s="12">
        <v>234840</v>
      </c>
      <c r="H4889" s="11" t="str">
        <f t="shared" si="157"/>
        <v>平成9年3月31日</v>
      </c>
      <c r="I4889" s="22">
        <f t="shared" si="158"/>
        <v>35520</v>
      </c>
      <c r="J4889" s="1" t="str">
        <f>"00747405"</f>
        <v>00747405</v>
      </c>
      <c r="K4889" s="1" t="str">
        <f>"４２１　　　　　　　　　　　　　　　　　"</f>
        <v>４２１　　　　　　　　　　　　　　　　　</v>
      </c>
      <c r="L4889" s="1"/>
    </row>
    <row r="4890" spans="1:12" ht="18" customHeight="1" x14ac:dyDescent="0.15">
      <c r="A4890" s="1">
        <v>5086</v>
      </c>
      <c r="B4890" s="11" t="s">
        <v>520</v>
      </c>
      <c r="C4890" s="11" t="s">
        <v>525</v>
      </c>
      <c r="D4890" s="11">
        <v>1</v>
      </c>
      <c r="E4890" s="11" t="s">
        <v>21</v>
      </c>
      <c r="F4890" s="12">
        <v>234840</v>
      </c>
      <c r="G4890" s="12">
        <v>234840</v>
      </c>
      <c r="H4890" s="11" t="str">
        <f t="shared" si="157"/>
        <v>平成9年3月31日</v>
      </c>
      <c r="I4890" s="22">
        <f t="shared" si="158"/>
        <v>35520</v>
      </c>
      <c r="J4890" s="1" t="str">
        <f>"00747407"</f>
        <v>00747407</v>
      </c>
      <c r="K4890" s="1" t="str">
        <f>"４２２　　　　　　　　　　　　　　　　　"</f>
        <v>４２２　　　　　　　　　　　　　　　　　</v>
      </c>
      <c r="L4890" s="1"/>
    </row>
    <row r="4891" spans="1:12" ht="18" customHeight="1" x14ac:dyDescent="0.15">
      <c r="A4891" s="1">
        <v>5087</v>
      </c>
      <c r="B4891" s="11" t="s">
        <v>520</v>
      </c>
      <c r="C4891" s="11" t="s">
        <v>525</v>
      </c>
      <c r="D4891" s="11">
        <v>1</v>
      </c>
      <c r="E4891" s="11" t="s">
        <v>21</v>
      </c>
      <c r="F4891" s="12">
        <v>234840</v>
      </c>
      <c r="G4891" s="12">
        <v>234840</v>
      </c>
      <c r="H4891" s="11" t="str">
        <f t="shared" si="157"/>
        <v>平成9年3月31日</v>
      </c>
      <c r="I4891" s="22">
        <f t="shared" si="158"/>
        <v>35520</v>
      </c>
      <c r="J4891" s="1" t="str">
        <f>"00747409"</f>
        <v>00747409</v>
      </c>
      <c r="K4891" s="1" t="str">
        <f>"４２３　　　　　　　　　　　　　　　　　"</f>
        <v>４２３　　　　　　　　　　　　　　　　　</v>
      </c>
      <c r="L4891" s="1"/>
    </row>
    <row r="4892" spans="1:12" ht="18" customHeight="1" x14ac:dyDescent="0.15">
      <c r="A4892" s="1">
        <v>3972</v>
      </c>
      <c r="B4892" s="25" t="s">
        <v>101</v>
      </c>
      <c r="C4892" s="25" t="s">
        <v>252</v>
      </c>
      <c r="D4892" s="25">
        <v>1</v>
      </c>
      <c r="E4892" s="25" t="s">
        <v>4</v>
      </c>
      <c r="F4892" s="38">
        <v>87550</v>
      </c>
      <c r="G4892" s="38" t="s">
        <v>667</v>
      </c>
      <c r="H4892" s="25" t="str">
        <f>"平成12年3月31日"</f>
        <v>平成12年3月31日</v>
      </c>
      <c r="I4892" s="22">
        <f>DATEVALUE(H4892)</f>
        <v>36616</v>
      </c>
      <c r="J4892" s="1" t="str">
        <f>"00744479"</f>
        <v>00744479</v>
      </c>
      <c r="K4892" s="1" t="str">
        <f>"３４７　　　　　　　　　　　　　　　　　"</f>
        <v>３４７　　　　　　　　　　　　　　　　　</v>
      </c>
      <c r="L4892" s="1"/>
    </row>
    <row r="4893" spans="1:12" ht="18" customHeight="1" x14ac:dyDescent="0.15">
      <c r="A4893" s="26"/>
      <c r="B4893" s="27"/>
      <c r="C4893" s="28" t="s">
        <v>659</v>
      </c>
      <c r="D4893" s="27"/>
      <c r="E4893" s="27"/>
      <c r="F4893" s="29">
        <f>SUM(F10:F4892)</f>
        <v>654032012</v>
      </c>
      <c r="G4893" s="29">
        <f>SUM(G10:G4892)</f>
        <v>307923124</v>
      </c>
      <c r="H4893" s="27"/>
      <c r="I4893" s="22"/>
      <c r="J4893" s="1"/>
      <c r="K4893" s="1"/>
      <c r="L4893" s="1"/>
    </row>
    <row r="4894" spans="1:12" ht="18" customHeight="1" x14ac:dyDescent="0.15">
      <c r="A4894" s="1"/>
      <c r="B4894" s="11" t="str">
        <f t="shared" ref="B4894:L4894" si="159">" "</f>
        <v xml:space="preserve"> </v>
      </c>
      <c r="C4894" s="11" t="str">
        <f t="shared" si="159"/>
        <v xml:space="preserve"> </v>
      </c>
      <c r="D4894" s="11" t="str">
        <f t="shared" si="159"/>
        <v xml:space="preserve"> </v>
      </c>
      <c r="E4894" s="11" t="str">
        <f t="shared" si="159"/>
        <v xml:space="preserve"> </v>
      </c>
      <c r="F4894" s="12" t="str">
        <f t="shared" si="159"/>
        <v xml:space="preserve"> </v>
      </c>
      <c r="G4894" s="12" t="str">
        <f t="shared" si="159"/>
        <v xml:space="preserve"> </v>
      </c>
      <c r="H4894" s="11" t="str">
        <f t="shared" si="159"/>
        <v xml:space="preserve"> </v>
      </c>
      <c r="I4894" s="22" t="str">
        <f t="shared" si="159"/>
        <v xml:space="preserve"> </v>
      </c>
      <c r="J4894" s="1" t="str">
        <f t="shared" si="159"/>
        <v xml:space="preserve"> </v>
      </c>
      <c r="K4894" s="1" t="str">
        <f t="shared" si="159"/>
        <v xml:space="preserve"> </v>
      </c>
      <c r="L4894" s="1" t="str">
        <f t="shared" si="159"/>
        <v xml:space="preserve"> </v>
      </c>
    </row>
    <row r="4895" spans="1:12" ht="18" customHeight="1" x14ac:dyDescent="0.15">
      <c r="A4895" s="25">
        <v>27</v>
      </c>
      <c r="B4895" s="25" t="s">
        <v>42</v>
      </c>
      <c r="C4895" s="25" t="s">
        <v>43</v>
      </c>
      <c r="D4895" s="25">
        <v>1</v>
      </c>
      <c r="E4895" s="25" t="s">
        <v>21</v>
      </c>
      <c r="F4895" s="38">
        <v>1587600</v>
      </c>
      <c r="G4895" s="38" t="s">
        <v>667</v>
      </c>
      <c r="H4895" s="25" t="str">
        <f t="shared" ref="H4895:H4958" si="160">"平成12年4月3日"</f>
        <v>平成12年4月3日</v>
      </c>
      <c r="I4895" s="22">
        <f t="shared" ref="I4895:I4958" si="161">DATEVALUE(H4895)</f>
        <v>36619</v>
      </c>
      <c r="J4895" s="1" t="str">
        <f>"00005303"</f>
        <v>00005303</v>
      </c>
      <c r="K4895" s="1" t="str">
        <f>"３０５　　　　　　　　　　　　　　　　　"</f>
        <v>３０５　　　　　　　　　　　　　　　　　</v>
      </c>
      <c r="L4895" s="1"/>
    </row>
    <row r="4896" spans="1:12" ht="18" customHeight="1" x14ac:dyDescent="0.15">
      <c r="A4896" s="1">
        <v>46</v>
      </c>
      <c r="B4896" s="25" t="s">
        <v>74</v>
      </c>
      <c r="C4896" s="25" t="s">
        <v>80</v>
      </c>
      <c r="D4896" s="25">
        <v>1</v>
      </c>
      <c r="E4896" s="25" t="s">
        <v>4</v>
      </c>
      <c r="F4896" s="38">
        <v>59115</v>
      </c>
      <c r="G4896" s="38" t="s">
        <v>667</v>
      </c>
      <c r="H4896" s="25" t="str">
        <f t="shared" si="160"/>
        <v>平成12年4月3日</v>
      </c>
      <c r="I4896" s="22">
        <f t="shared" si="161"/>
        <v>36619</v>
      </c>
      <c r="J4896" s="1" t="str">
        <f>"00735928"</f>
        <v>00735928</v>
      </c>
      <c r="K4896" s="1" t="str">
        <f>"３１３　　　　　　　　　　　　　　　　　"</f>
        <v>３１３　　　　　　　　　　　　　　　　　</v>
      </c>
      <c r="L4896" s="1"/>
    </row>
    <row r="4897" spans="1:12" ht="18" customHeight="1" x14ac:dyDescent="0.15">
      <c r="A4897" s="1">
        <v>47</v>
      </c>
      <c r="B4897" s="25" t="s">
        <v>74</v>
      </c>
      <c r="C4897" s="25" t="s">
        <v>80</v>
      </c>
      <c r="D4897" s="25">
        <v>1</v>
      </c>
      <c r="E4897" s="25" t="s">
        <v>4</v>
      </c>
      <c r="F4897" s="38">
        <v>59115</v>
      </c>
      <c r="G4897" s="38" t="s">
        <v>667</v>
      </c>
      <c r="H4897" s="25" t="str">
        <f t="shared" si="160"/>
        <v>平成12年4月3日</v>
      </c>
      <c r="I4897" s="22">
        <f t="shared" si="161"/>
        <v>36619</v>
      </c>
      <c r="J4897" s="1" t="str">
        <f>"00735936"</f>
        <v>00735936</v>
      </c>
      <c r="K4897" s="1" t="str">
        <f>"３１４　　　　　　　　　　　　　　　　　"</f>
        <v>３１４　　　　　　　　　　　　　　　　　</v>
      </c>
      <c r="L4897" s="1"/>
    </row>
    <row r="4898" spans="1:12" ht="18" customHeight="1" x14ac:dyDescent="0.15">
      <c r="A4898" s="1">
        <v>51</v>
      </c>
      <c r="B4898" s="25" t="s">
        <v>86</v>
      </c>
      <c r="C4898" s="25" t="s">
        <v>87</v>
      </c>
      <c r="D4898" s="25">
        <v>1</v>
      </c>
      <c r="E4898" s="25" t="s">
        <v>21</v>
      </c>
      <c r="F4898" s="38">
        <v>38325</v>
      </c>
      <c r="G4898" s="38" t="s">
        <v>667</v>
      </c>
      <c r="H4898" s="25" t="str">
        <f t="shared" si="160"/>
        <v>平成12年4月3日</v>
      </c>
      <c r="I4898" s="22">
        <f t="shared" si="161"/>
        <v>36619</v>
      </c>
      <c r="J4898" s="1" t="str">
        <f>"00735965"</f>
        <v>00735965</v>
      </c>
      <c r="K4898" s="1" t="str">
        <f>"１　　　　　　　　　　　　　　　　　　　"</f>
        <v>１　　　　　　　　　　　　　　　　　　　</v>
      </c>
      <c r="L4898" s="1"/>
    </row>
    <row r="4899" spans="1:12" ht="18" customHeight="1" x14ac:dyDescent="0.15">
      <c r="A4899" s="1">
        <v>54</v>
      </c>
      <c r="B4899" s="25" t="s">
        <v>92</v>
      </c>
      <c r="C4899" s="25" t="s">
        <v>93</v>
      </c>
      <c r="D4899" s="25">
        <v>1</v>
      </c>
      <c r="E4899" s="25" t="s">
        <v>21</v>
      </c>
      <c r="F4899" s="38">
        <v>107100</v>
      </c>
      <c r="G4899" s="38" t="s">
        <v>666</v>
      </c>
      <c r="H4899" s="25" t="str">
        <f t="shared" si="160"/>
        <v>平成12年4月3日</v>
      </c>
      <c r="I4899" s="22">
        <f t="shared" si="161"/>
        <v>36619</v>
      </c>
      <c r="J4899" s="1" t="str">
        <f>"00735985"</f>
        <v>00735985</v>
      </c>
      <c r="K4899" s="1" t="str">
        <f>"２　　　　　　　　　　　　　　　　　　　"</f>
        <v>２　　　　　　　　　　　　　　　　　　　</v>
      </c>
      <c r="L4899" s="1"/>
    </row>
    <row r="4900" spans="1:12" ht="18" customHeight="1" x14ac:dyDescent="0.15">
      <c r="A4900" s="1">
        <v>297</v>
      </c>
      <c r="B4900" s="25" t="s">
        <v>73</v>
      </c>
      <c r="C4900" s="25" t="s">
        <v>139</v>
      </c>
      <c r="D4900" s="25">
        <v>1</v>
      </c>
      <c r="E4900" s="25" t="s">
        <v>4</v>
      </c>
      <c r="F4900" s="38">
        <v>59740</v>
      </c>
      <c r="G4900" s="38" t="s">
        <v>667</v>
      </c>
      <c r="H4900" s="25" t="str">
        <f t="shared" si="160"/>
        <v>平成12年4月3日</v>
      </c>
      <c r="I4900" s="22">
        <f t="shared" si="161"/>
        <v>36619</v>
      </c>
      <c r="J4900" s="1" t="str">
        <f>"00736929"</f>
        <v>00736929</v>
      </c>
      <c r="K4900" s="1" t="str">
        <f>"３３３　　　　　　　　　　　　　　　　　"</f>
        <v>３３３　　　　　　　　　　　　　　　　　</v>
      </c>
      <c r="L4900" s="1"/>
    </row>
    <row r="4901" spans="1:12" ht="18" customHeight="1" x14ac:dyDescent="0.15">
      <c r="A4901" s="1">
        <v>298</v>
      </c>
      <c r="B4901" s="25" t="s">
        <v>73</v>
      </c>
      <c r="C4901" s="25" t="s">
        <v>139</v>
      </c>
      <c r="D4901" s="25">
        <v>1</v>
      </c>
      <c r="E4901" s="25" t="s">
        <v>4</v>
      </c>
      <c r="F4901" s="38">
        <v>59740</v>
      </c>
      <c r="G4901" s="38" t="s">
        <v>667</v>
      </c>
      <c r="H4901" s="25" t="str">
        <f t="shared" si="160"/>
        <v>平成12年4月3日</v>
      </c>
      <c r="I4901" s="22">
        <f t="shared" si="161"/>
        <v>36619</v>
      </c>
      <c r="J4901" s="1" t="str">
        <f>"00736931"</f>
        <v>00736931</v>
      </c>
      <c r="K4901" s="1" t="str">
        <f>"３３４　　　　　　　　　　　　　　　　　"</f>
        <v>３３４　　　　　　　　　　　　　　　　　</v>
      </c>
      <c r="L4901" s="1"/>
    </row>
    <row r="4902" spans="1:12" ht="18" customHeight="1" x14ac:dyDescent="0.15">
      <c r="A4902" s="1">
        <v>299</v>
      </c>
      <c r="B4902" s="25" t="s">
        <v>73</v>
      </c>
      <c r="C4902" s="25" t="s">
        <v>139</v>
      </c>
      <c r="D4902" s="25">
        <v>1</v>
      </c>
      <c r="E4902" s="25" t="s">
        <v>4</v>
      </c>
      <c r="F4902" s="38">
        <v>59740</v>
      </c>
      <c r="G4902" s="38" t="s">
        <v>667</v>
      </c>
      <c r="H4902" s="25" t="str">
        <f t="shared" si="160"/>
        <v>平成12年4月3日</v>
      </c>
      <c r="I4902" s="22">
        <f t="shared" si="161"/>
        <v>36619</v>
      </c>
      <c r="J4902" s="1" t="str">
        <f>"00736933"</f>
        <v>00736933</v>
      </c>
      <c r="K4902" s="1" t="str">
        <f>"３３５　　　　　　　　　　　　　　　　　"</f>
        <v>３３５　　　　　　　　　　　　　　　　　</v>
      </c>
      <c r="L4902" s="1"/>
    </row>
    <row r="4903" spans="1:12" ht="18" customHeight="1" x14ac:dyDescent="0.15">
      <c r="A4903" s="1">
        <v>1129</v>
      </c>
      <c r="B4903" s="25" t="s">
        <v>28</v>
      </c>
      <c r="C4903" s="25" t="s">
        <v>149</v>
      </c>
      <c r="D4903" s="25">
        <v>1</v>
      </c>
      <c r="E4903" s="25" t="s">
        <v>4</v>
      </c>
      <c r="F4903" s="38">
        <v>52221</v>
      </c>
      <c r="G4903" s="38" t="s">
        <v>667</v>
      </c>
      <c r="H4903" s="25" t="str">
        <f t="shared" si="160"/>
        <v>平成12年4月3日</v>
      </c>
      <c r="I4903" s="22">
        <f t="shared" si="161"/>
        <v>36619</v>
      </c>
      <c r="J4903" s="1" t="str">
        <f>"00738645"</f>
        <v>00738645</v>
      </c>
      <c r="K4903" s="1" t="str">
        <f>"１６４４　　　　　　　　　　　　　　　　"</f>
        <v>１６４４　　　　　　　　　　　　　　　　</v>
      </c>
      <c r="L4903" s="1"/>
    </row>
    <row r="4904" spans="1:12" ht="18" customHeight="1" x14ac:dyDescent="0.15">
      <c r="A4904" s="1">
        <v>1130</v>
      </c>
      <c r="B4904" s="25" t="s">
        <v>28</v>
      </c>
      <c r="C4904" s="25" t="s">
        <v>149</v>
      </c>
      <c r="D4904" s="25">
        <v>1</v>
      </c>
      <c r="E4904" s="25" t="s">
        <v>4</v>
      </c>
      <c r="F4904" s="38">
        <v>52221</v>
      </c>
      <c r="G4904" s="38" t="s">
        <v>667</v>
      </c>
      <c r="H4904" s="25" t="str">
        <f t="shared" si="160"/>
        <v>平成12年4月3日</v>
      </c>
      <c r="I4904" s="22">
        <f t="shared" si="161"/>
        <v>36619</v>
      </c>
      <c r="J4904" s="1" t="str">
        <f>"00738647"</f>
        <v>00738647</v>
      </c>
      <c r="K4904" s="1" t="str">
        <f>"１６４５　　　　　　　　　　　　　　　　"</f>
        <v>１６４５　　　　　　　　　　　　　　　　</v>
      </c>
      <c r="L4904" s="1"/>
    </row>
    <row r="4905" spans="1:12" ht="18" customHeight="1" x14ac:dyDescent="0.15">
      <c r="A4905" s="1">
        <v>1131</v>
      </c>
      <c r="B4905" s="25" t="s">
        <v>28</v>
      </c>
      <c r="C4905" s="25" t="s">
        <v>149</v>
      </c>
      <c r="D4905" s="25">
        <v>1</v>
      </c>
      <c r="E4905" s="25" t="s">
        <v>4</v>
      </c>
      <c r="F4905" s="38">
        <v>52221</v>
      </c>
      <c r="G4905" s="38" t="s">
        <v>667</v>
      </c>
      <c r="H4905" s="25" t="str">
        <f t="shared" si="160"/>
        <v>平成12年4月3日</v>
      </c>
      <c r="I4905" s="22">
        <f t="shared" si="161"/>
        <v>36619</v>
      </c>
      <c r="J4905" s="1" t="str">
        <f>"00738649"</f>
        <v>00738649</v>
      </c>
      <c r="K4905" s="1" t="str">
        <f>"１６４６　　　　　　　　　　　　　　　　"</f>
        <v>１６４６　　　　　　　　　　　　　　　　</v>
      </c>
      <c r="L4905" s="1"/>
    </row>
    <row r="4906" spans="1:12" ht="18" customHeight="1" x14ac:dyDescent="0.15">
      <c r="A4906" s="1">
        <v>1132</v>
      </c>
      <c r="B4906" s="25" t="s">
        <v>28</v>
      </c>
      <c r="C4906" s="25" t="s">
        <v>149</v>
      </c>
      <c r="D4906" s="25">
        <v>1</v>
      </c>
      <c r="E4906" s="25" t="s">
        <v>4</v>
      </c>
      <c r="F4906" s="38">
        <v>52221</v>
      </c>
      <c r="G4906" s="38" t="s">
        <v>667</v>
      </c>
      <c r="H4906" s="25" t="str">
        <f t="shared" si="160"/>
        <v>平成12年4月3日</v>
      </c>
      <c r="I4906" s="22">
        <f t="shared" si="161"/>
        <v>36619</v>
      </c>
      <c r="J4906" s="1" t="str">
        <f>"00738651"</f>
        <v>00738651</v>
      </c>
      <c r="K4906" s="1" t="str">
        <f>"１６４７　　　　　　　　　　　　　　　　"</f>
        <v>１６４７　　　　　　　　　　　　　　　　</v>
      </c>
      <c r="L4906" s="1"/>
    </row>
    <row r="4907" spans="1:12" ht="18" customHeight="1" x14ac:dyDescent="0.15">
      <c r="A4907" s="1">
        <v>1133</v>
      </c>
      <c r="B4907" s="25" t="s">
        <v>28</v>
      </c>
      <c r="C4907" s="25" t="s">
        <v>149</v>
      </c>
      <c r="D4907" s="25">
        <v>1</v>
      </c>
      <c r="E4907" s="25" t="s">
        <v>4</v>
      </c>
      <c r="F4907" s="38">
        <v>52221</v>
      </c>
      <c r="G4907" s="38" t="s">
        <v>667</v>
      </c>
      <c r="H4907" s="25" t="str">
        <f t="shared" si="160"/>
        <v>平成12年4月3日</v>
      </c>
      <c r="I4907" s="22">
        <f t="shared" si="161"/>
        <v>36619</v>
      </c>
      <c r="J4907" s="1" t="str">
        <f>"00738653"</f>
        <v>00738653</v>
      </c>
      <c r="K4907" s="1" t="str">
        <f>"１６４８　　　　　　　　　　　　　　　　"</f>
        <v>１６４８　　　　　　　　　　　　　　　　</v>
      </c>
      <c r="L4907" s="1"/>
    </row>
    <row r="4908" spans="1:12" ht="18" customHeight="1" x14ac:dyDescent="0.15">
      <c r="A4908" s="1">
        <v>1134</v>
      </c>
      <c r="B4908" s="25" t="s">
        <v>28</v>
      </c>
      <c r="C4908" s="25" t="s">
        <v>149</v>
      </c>
      <c r="D4908" s="25">
        <v>1</v>
      </c>
      <c r="E4908" s="25" t="s">
        <v>4</v>
      </c>
      <c r="F4908" s="38">
        <v>52221</v>
      </c>
      <c r="G4908" s="38" t="s">
        <v>667</v>
      </c>
      <c r="H4908" s="25" t="str">
        <f t="shared" si="160"/>
        <v>平成12年4月3日</v>
      </c>
      <c r="I4908" s="22">
        <f t="shared" si="161"/>
        <v>36619</v>
      </c>
      <c r="J4908" s="1" t="str">
        <f>"00738655"</f>
        <v>00738655</v>
      </c>
      <c r="K4908" s="1" t="str">
        <f>"１６４９　　　　　　　　　　　　　　　　"</f>
        <v>１６４９　　　　　　　　　　　　　　　　</v>
      </c>
      <c r="L4908" s="1"/>
    </row>
    <row r="4909" spans="1:12" ht="18" customHeight="1" x14ac:dyDescent="0.15">
      <c r="A4909" s="1">
        <v>1135</v>
      </c>
      <c r="B4909" s="25" t="s">
        <v>28</v>
      </c>
      <c r="C4909" s="25" t="s">
        <v>149</v>
      </c>
      <c r="D4909" s="25">
        <v>1</v>
      </c>
      <c r="E4909" s="25" t="s">
        <v>4</v>
      </c>
      <c r="F4909" s="38">
        <v>52221</v>
      </c>
      <c r="G4909" s="38" t="s">
        <v>667</v>
      </c>
      <c r="H4909" s="25" t="str">
        <f t="shared" si="160"/>
        <v>平成12年4月3日</v>
      </c>
      <c r="I4909" s="22">
        <f t="shared" si="161"/>
        <v>36619</v>
      </c>
      <c r="J4909" s="1" t="str">
        <f>"00738657"</f>
        <v>00738657</v>
      </c>
      <c r="K4909" s="1" t="str">
        <f>"１６５０　　　　　　　　　　　　　　　　"</f>
        <v>１６５０　　　　　　　　　　　　　　　　</v>
      </c>
      <c r="L4909" s="1"/>
    </row>
    <row r="4910" spans="1:12" ht="18" customHeight="1" x14ac:dyDescent="0.15">
      <c r="A4910" s="1">
        <v>1136</v>
      </c>
      <c r="B4910" s="25" t="s">
        <v>28</v>
      </c>
      <c r="C4910" s="25" t="s">
        <v>149</v>
      </c>
      <c r="D4910" s="25">
        <v>1</v>
      </c>
      <c r="E4910" s="25" t="s">
        <v>4</v>
      </c>
      <c r="F4910" s="38">
        <v>52221</v>
      </c>
      <c r="G4910" s="38" t="s">
        <v>667</v>
      </c>
      <c r="H4910" s="25" t="str">
        <f t="shared" si="160"/>
        <v>平成12年4月3日</v>
      </c>
      <c r="I4910" s="22">
        <f t="shared" si="161"/>
        <v>36619</v>
      </c>
      <c r="J4910" s="1" t="str">
        <f>"00738659"</f>
        <v>00738659</v>
      </c>
      <c r="K4910" s="1" t="str">
        <f>"１６５１　　　　　　　　　　　　　　　　"</f>
        <v>１６５１　　　　　　　　　　　　　　　　</v>
      </c>
      <c r="L4910" s="1"/>
    </row>
    <row r="4911" spans="1:12" ht="18" customHeight="1" x14ac:dyDescent="0.15">
      <c r="A4911" s="1">
        <v>1137</v>
      </c>
      <c r="B4911" s="25" t="s">
        <v>28</v>
      </c>
      <c r="C4911" s="25" t="s">
        <v>149</v>
      </c>
      <c r="D4911" s="25">
        <v>1</v>
      </c>
      <c r="E4911" s="25" t="s">
        <v>4</v>
      </c>
      <c r="F4911" s="38">
        <v>52221</v>
      </c>
      <c r="G4911" s="38" t="s">
        <v>667</v>
      </c>
      <c r="H4911" s="25" t="str">
        <f t="shared" si="160"/>
        <v>平成12年4月3日</v>
      </c>
      <c r="I4911" s="22">
        <f t="shared" si="161"/>
        <v>36619</v>
      </c>
      <c r="J4911" s="1" t="str">
        <f>"00738661"</f>
        <v>00738661</v>
      </c>
      <c r="K4911" s="1" t="str">
        <f>"１６５２　　　　　　　　　　　　　　　　"</f>
        <v>１６５２　　　　　　　　　　　　　　　　</v>
      </c>
      <c r="L4911" s="1"/>
    </row>
    <row r="4912" spans="1:12" ht="18" customHeight="1" x14ac:dyDescent="0.15">
      <c r="A4912" s="1">
        <v>1138</v>
      </c>
      <c r="B4912" s="25" t="s">
        <v>28</v>
      </c>
      <c r="C4912" s="25" t="s">
        <v>149</v>
      </c>
      <c r="D4912" s="25">
        <v>1</v>
      </c>
      <c r="E4912" s="25" t="s">
        <v>4</v>
      </c>
      <c r="F4912" s="38">
        <v>52221</v>
      </c>
      <c r="G4912" s="38" t="s">
        <v>667</v>
      </c>
      <c r="H4912" s="25" t="str">
        <f t="shared" si="160"/>
        <v>平成12年4月3日</v>
      </c>
      <c r="I4912" s="22">
        <f t="shared" si="161"/>
        <v>36619</v>
      </c>
      <c r="J4912" s="1" t="str">
        <f>"00738663"</f>
        <v>00738663</v>
      </c>
      <c r="K4912" s="1" t="str">
        <f>"１６５３　　　　　　　　　　　　　　　　"</f>
        <v>１６５３　　　　　　　　　　　　　　　　</v>
      </c>
      <c r="L4912" s="1"/>
    </row>
    <row r="4913" spans="1:12" ht="18" customHeight="1" x14ac:dyDescent="0.15">
      <c r="A4913" s="1">
        <v>1139</v>
      </c>
      <c r="B4913" s="25" t="s">
        <v>28</v>
      </c>
      <c r="C4913" s="25" t="s">
        <v>149</v>
      </c>
      <c r="D4913" s="25">
        <v>1</v>
      </c>
      <c r="E4913" s="25" t="s">
        <v>4</v>
      </c>
      <c r="F4913" s="38">
        <v>76735</v>
      </c>
      <c r="G4913" s="38" t="s">
        <v>667</v>
      </c>
      <c r="H4913" s="25" t="str">
        <f t="shared" si="160"/>
        <v>平成12年4月3日</v>
      </c>
      <c r="I4913" s="22">
        <f t="shared" si="161"/>
        <v>36619</v>
      </c>
      <c r="J4913" s="1" t="str">
        <f>"00738665"</f>
        <v>00738665</v>
      </c>
      <c r="K4913" s="1" t="str">
        <f>"１６５４　　　　　　　　　　　　　　　　"</f>
        <v>１６５４　　　　　　　　　　　　　　　　</v>
      </c>
      <c r="L4913" s="1"/>
    </row>
    <row r="4914" spans="1:12" ht="18" customHeight="1" x14ac:dyDescent="0.15">
      <c r="A4914" s="1">
        <v>1140</v>
      </c>
      <c r="B4914" s="25" t="s">
        <v>28</v>
      </c>
      <c r="C4914" s="25" t="s">
        <v>149</v>
      </c>
      <c r="D4914" s="25">
        <v>1</v>
      </c>
      <c r="E4914" s="25" t="s">
        <v>4</v>
      </c>
      <c r="F4914" s="38">
        <v>76735</v>
      </c>
      <c r="G4914" s="38" t="s">
        <v>667</v>
      </c>
      <c r="H4914" s="25" t="str">
        <f t="shared" si="160"/>
        <v>平成12年4月3日</v>
      </c>
      <c r="I4914" s="22">
        <f t="shared" si="161"/>
        <v>36619</v>
      </c>
      <c r="J4914" s="1" t="str">
        <f>"00738667"</f>
        <v>00738667</v>
      </c>
      <c r="K4914" s="1" t="str">
        <f>"１６５５　　　　　　　　　　　　　　　　"</f>
        <v>１６５５　　　　　　　　　　　　　　　　</v>
      </c>
      <c r="L4914" s="1"/>
    </row>
    <row r="4915" spans="1:12" ht="18" customHeight="1" x14ac:dyDescent="0.15">
      <c r="A4915" s="1">
        <v>1141</v>
      </c>
      <c r="B4915" s="25" t="s">
        <v>28</v>
      </c>
      <c r="C4915" s="25" t="s">
        <v>149</v>
      </c>
      <c r="D4915" s="25">
        <v>1</v>
      </c>
      <c r="E4915" s="25" t="s">
        <v>4</v>
      </c>
      <c r="F4915" s="38">
        <v>76735</v>
      </c>
      <c r="G4915" s="38" t="s">
        <v>667</v>
      </c>
      <c r="H4915" s="25" t="str">
        <f t="shared" si="160"/>
        <v>平成12年4月3日</v>
      </c>
      <c r="I4915" s="22">
        <f t="shared" si="161"/>
        <v>36619</v>
      </c>
      <c r="J4915" s="1" t="str">
        <f>"00738669"</f>
        <v>00738669</v>
      </c>
      <c r="K4915" s="1" t="str">
        <f>"１６５６　　　　　　　　　　　　　　　　"</f>
        <v>１６５６　　　　　　　　　　　　　　　　</v>
      </c>
      <c r="L4915" s="1"/>
    </row>
    <row r="4916" spans="1:12" ht="18" customHeight="1" x14ac:dyDescent="0.15">
      <c r="A4916" s="1">
        <v>1142</v>
      </c>
      <c r="B4916" s="25" t="s">
        <v>28</v>
      </c>
      <c r="C4916" s="25" t="s">
        <v>149</v>
      </c>
      <c r="D4916" s="25">
        <v>1</v>
      </c>
      <c r="E4916" s="25" t="s">
        <v>4</v>
      </c>
      <c r="F4916" s="38">
        <v>76735</v>
      </c>
      <c r="G4916" s="38" t="s">
        <v>667</v>
      </c>
      <c r="H4916" s="25" t="str">
        <f t="shared" si="160"/>
        <v>平成12年4月3日</v>
      </c>
      <c r="I4916" s="22">
        <f t="shared" si="161"/>
        <v>36619</v>
      </c>
      <c r="J4916" s="1" t="str">
        <f>"00738671"</f>
        <v>00738671</v>
      </c>
      <c r="K4916" s="1" t="str">
        <f>"１６５７　　　　　　　　　　　　　　　　"</f>
        <v>１６５７　　　　　　　　　　　　　　　　</v>
      </c>
      <c r="L4916" s="1"/>
    </row>
    <row r="4917" spans="1:12" ht="18" customHeight="1" x14ac:dyDescent="0.15">
      <c r="A4917" s="1">
        <v>1143</v>
      </c>
      <c r="B4917" s="25" t="s">
        <v>28</v>
      </c>
      <c r="C4917" s="25" t="s">
        <v>149</v>
      </c>
      <c r="D4917" s="25">
        <v>1</v>
      </c>
      <c r="E4917" s="25" t="s">
        <v>4</v>
      </c>
      <c r="F4917" s="38">
        <v>76735</v>
      </c>
      <c r="G4917" s="38" t="s">
        <v>667</v>
      </c>
      <c r="H4917" s="25" t="str">
        <f t="shared" si="160"/>
        <v>平成12年4月3日</v>
      </c>
      <c r="I4917" s="22">
        <f t="shared" si="161"/>
        <v>36619</v>
      </c>
      <c r="J4917" s="1" t="str">
        <f>"00738673"</f>
        <v>00738673</v>
      </c>
      <c r="K4917" s="1" t="str">
        <f>"１６５８　　　　　　　　　　　　　　　　"</f>
        <v>１６５８　　　　　　　　　　　　　　　　</v>
      </c>
      <c r="L4917" s="1"/>
    </row>
    <row r="4918" spans="1:12" ht="18" customHeight="1" x14ac:dyDescent="0.15">
      <c r="A4918" s="1">
        <v>1144</v>
      </c>
      <c r="B4918" s="25" t="s">
        <v>28</v>
      </c>
      <c r="C4918" s="25" t="s">
        <v>149</v>
      </c>
      <c r="D4918" s="25">
        <v>1</v>
      </c>
      <c r="E4918" s="25" t="s">
        <v>4</v>
      </c>
      <c r="F4918" s="38">
        <v>76735</v>
      </c>
      <c r="G4918" s="38" t="s">
        <v>667</v>
      </c>
      <c r="H4918" s="25" t="str">
        <f t="shared" si="160"/>
        <v>平成12年4月3日</v>
      </c>
      <c r="I4918" s="22">
        <f t="shared" si="161"/>
        <v>36619</v>
      </c>
      <c r="J4918" s="1" t="str">
        <f>"00738675"</f>
        <v>00738675</v>
      </c>
      <c r="K4918" s="1" t="str">
        <f>"１６５９　　　　　　　　　　　　　　　　"</f>
        <v>１６５９　　　　　　　　　　　　　　　　</v>
      </c>
      <c r="L4918" s="1"/>
    </row>
    <row r="4919" spans="1:12" ht="18" customHeight="1" x14ac:dyDescent="0.15">
      <c r="A4919" s="1">
        <v>1145</v>
      </c>
      <c r="B4919" s="25" t="s">
        <v>28</v>
      </c>
      <c r="C4919" s="25" t="s">
        <v>149</v>
      </c>
      <c r="D4919" s="25">
        <v>1</v>
      </c>
      <c r="E4919" s="25" t="s">
        <v>4</v>
      </c>
      <c r="F4919" s="38">
        <v>76735</v>
      </c>
      <c r="G4919" s="38" t="s">
        <v>667</v>
      </c>
      <c r="H4919" s="25" t="str">
        <f t="shared" si="160"/>
        <v>平成12年4月3日</v>
      </c>
      <c r="I4919" s="22">
        <f t="shared" si="161"/>
        <v>36619</v>
      </c>
      <c r="J4919" s="1" t="str">
        <f>"00738677"</f>
        <v>00738677</v>
      </c>
      <c r="K4919" s="1" t="str">
        <f>"１６６０　　　　　　　　　　　　　　　　"</f>
        <v>１６６０　　　　　　　　　　　　　　　　</v>
      </c>
      <c r="L4919" s="1"/>
    </row>
    <row r="4920" spans="1:12" ht="18" customHeight="1" x14ac:dyDescent="0.15">
      <c r="A4920" s="1">
        <v>1146</v>
      </c>
      <c r="B4920" s="25" t="s">
        <v>28</v>
      </c>
      <c r="C4920" s="25" t="s">
        <v>149</v>
      </c>
      <c r="D4920" s="25">
        <v>1</v>
      </c>
      <c r="E4920" s="25" t="s">
        <v>4</v>
      </c>
      <c r="F4920" s="38">
        <v>76735</v>
      </c>
      <c r="G4920" s="38" t="s">
        <v>667</v>
      </c>
      <c r="H4920" s="25" t="str">
        <f t="shared" si="160"/>
        <v>平成12年4月3日</v>
      </c>
      <c r="I4920" s="22">
        <f t="shared" si="161"/>
        <v>36619</v>
      </c>
      <c r="J4920" s="1" t="str">
        <f>"00738679"</f>
        <v>00738679</v>
      </c>
      <c r="K4920" s="1" t="str">
        <f>"１６６１　　　　　　　　　　　　　　　　"</f>
        <v>１６６１　　　　　　　　　　　　　　　　</v>
      </c>
      <c r="L4920" s="1"/>
    </row>
    <row r="4921" spans="1:12" ht="18" customHeight="1" x14ac:dyDescent="0.15">
      <c r="A4921" s="1">
        <v>1147</v>
      </c>
      <c r="B4921" s="25" t="s">
        <v>28</v>
      </c>
      <c r="C4921" s="25" t="s">
        <v>149</v>
      </c>
      <c r="D4921" s="25">
        <v>1</v>
      </c>
      <c r="E4921" s="25" t="s">
        <v>4</v>
      </c>
      <c r="F4921" s="38">
        <v>76735</v>
      </c>
      <c r="G4921" s="38" t="s">
        <v>667</v>
      </c>
      <c r="H4921" s="25" t="str">
        <f t="shared" si="160"/>
        <v>平成12年4月3日</v>
      </c>
      <c r="I4921" s="22">
        <f t="shared" si="161"/>
        <v>36619</v>
      </c>
      <c r="J4921" s="1" t="str">
        <f>"00738681"</f>
        <v>00738681</v>
      </c>
      <c r="K4921" s="1" t="str">
        <f>"１６６２　　　　　　　　　　　　　　　　"</f>
        <v>１６６２　　　　　　　　　　　　　　　　</v>
      </c>
      <c r="L4921" s="1"/>
    </row>
    <row r="4922" spans="1:12" ht="18" customHeight="1" x14ac:dyDescent="0.15">
      <c r="A4922" s="1">
        <v>1148</v>
      </c>
      <c r="B4922" s="25" t="s">
        <v>28</v>
      </c>
      <c r="C4922" s="25" t="s">
        <v>149</v>
      </c>
      <c r="D4922" s="25">
        <v>1</v>
      </c>
      <c r="E4922" s="25" t="s">
        <v>4</v>
      </c>
      <c r="F4922" s="38">
        <v>76735</v>
      </c>
      <c r="G4922" s="38" t="s">
        <v>667</v>
      </c>
      <c r="H4922" s="25" t="str">
        <f t="shared" si="160"/>
        <v>平成12年4月3日</v>
      </c>
      <c r="I4922" s="22">
        <f t="shared" si="161"/>
        <v>36619</v>
      </c>
      <c r="J4922" s="1" t="str">
        <f>"00738683"</f>
        <v>00738683</v>
      </c>
      <c r="K4922" s="1" t="str">
        <f>"１６６３　　　　　　　　　　　　　　　　"</f>
        <v>１６６３　　　　　　　　　　　　　　　　</v>
      </c>
      <c r="L4922" s="1"/>
    </row>
    <row r="4923" spans="1:12" ht="18" customHeight="1" x14ac:dyDescent="0.15">
      <c r="A4923" s="1">
        <v>1149</v>
      </c>
      <c r="B4923" s="25" t="s">
        <v>28</v>
      </c>
      <c r="C4923" s="25" t="s">
        <v>149</v>
      </c>
      <c r="D4923" s="25">
        <v>1</v>
      </c>
      <c r="E4923" s="25" t="s">
        <v>4</v>
      </c>
      <c r="F4923" s="38">
        <v>64478</v>
      </c>
      <c r="G4923" s="38" t="s">
        <v>667</v>
      </c>
      <c r="H4923" s="25" t="str">
        <f t="shared" si="160"/>
        <v>平成12年4月3日</v>
      </c>
      <c r="I4923" s="22">
        <f t="shared" si="161"/>
        <v>36619</v>
      </c>
      <c r="J4923" s="1" t="str">
        <f>"00738685"</f>
        <v>00738685</v>
      </c>
      <c r="K4923" s="1" t="str">
        <f>"１６６４　　　　　　　　　　　　　　　　"</f>
        <v>１６６４　　　　　　　　　　　　　　　　</v>
      </c>
      <c r="L4923" s="1"/>
    </row>
    <row r="4924" spans="1:12" ht="18" customHeight="1" x14ac:dyDescent="0.15">
      <c r="A4924" s="1">
        <v>1150</v>
      </c>
      <c r="B4924" s="25" t="s">
        <v>28</v>
      </c>
      <c r="C4924" s="25" t="s">
        <v>149</v>
      </c>
      <c r="D4924" s="25">
        <v>1</v>
      </c>
      <c r="E4924" s="25" t="s">
        <v>4</v>
      </c>
      <c r="F4924" s="38">
        <v>64478</v>
      </c>
      <c r="G4924" s="38" t="s">
        <v>667</v>
      </c>
      <c r="H4924" s="25" t="str">
        <f t="shared" si="160"/>
        <v>平成12年4月3日</v>
      </c>
      <c r="I4924" s="22">
        <f t="shared" si="161"/>
        <v>36619</v>
      </c>
      <c r="J4924" s="1" t="str">
        <f>"00738687"</f>
        <v>00738687</v>
      </c>
      <c r="K4924" s="1" t="str">
        <f>"１６６５　　　　　　　　　　　　　　　　"</f>
        <v>１６６５　　　　　　　　　　　　　　　　</v>
      </c>
      <c r="L4924" s="1"/>
    </row>
    <row r="4925" spans="1:12" ht="18" customHeight="1" x14ac:dyDescent="0.15">
      <c r="A4925" s="1">
        <v>1151</v>
      </c>
      <c r="B4925" s="25" t="s">
        <v>28</v>
      </c>
      <c r="C4925" s="25" t="s">
        <v>149</v>
      </c>
      <c r="D4925" s="25">
        <v>1</v>
      </c>
      <c r="E4925" s="25" t="s">
        <v>4</v>
      </c>
      <c r="F4925" s="38">
        <v>64478</v>
      </c>
      <c r="G4925" s="38" t="s">
        <v>667</v>
      </c>
      <c r="H4925" s="25" t="str">
        <f t="shared" si="160"/>
        <v>平成12年4月3日</v>
      </c>
      <c r="I4925" s="22">
        <f t="shared" si="161"/>
        <v>36619</v>
      </c>
      <c r="J4925" s="1" t="str">
        <f>"00738689"</f>
        <v>00738689</v>
      </c>
      <c r="K4925" s="1" t="str">
        <f>"１６６６　　　　　　　　　　　　　　　　"</f>
        <v>１６６６　　　　　　　　　　　　　　　　</v>
      </c>
      <c r="L4925" s="1"/>
    </row>
    <row r="4926" spans="1:12" ht="18" customHeight="1" x14ac:dyDescent="0.15">
      <c r="A4926" s="1">
        <v>1152</v>
      </c>
      <c r="B4926" s="25" t="s">
        <v>28</v>
      </c>
      <c r="C4926" s="25" t="s">
        <v>149</v>
      </c>
      <c r="D4926" s="25">
        <v>1</v>
      </c>
      <c r="E4926" s="25" t="s">
        <v>4</v>
      </c>
      <c r="F4926" s="38">
        <v>64478</v>
      </c>
      <c r="G4926" s="38" t="s">
        <v>667</v>
      </c>
      <c r="H4926" s="25" t="str">
        <f t="shared" si="160"/>
        <v>平成12年4月3日</v>
      </c>
      <c r="I4926" s="22">
        <f t="shared" si="161"/>
        <v>36619</v>
      </c>
      <c r="J4926" s="1" t="str">
        <f>"00738691"</f>
        <v>00738691</v>
      </c>
      <c r="K4926" s="1" t="str">
        <f>"１６６７　　　　　　　　　　　　　　　　"</f>
        <v>１６６７　　　　　　　　　　　　　　　　</v>
      </c>
      <c r="L4926" s="1"/>
    </row>
    <row r="4927" spans="1:12" ht="18" customHeight="1" x14ac:dyDescent="0.15">
      <c r="A4927" s="1">
        <v>1153</v>
      </c>
      <c r="B4927" s="25" t="s">
        <v>28</v>
      </c>
      <c r="C4927" s="25" t="s">
        <v>149</v>
      </c>
      <c r="D4927" s="25">
        <v>1</v>
      </c>
      <c r="E4927" s="25" t="s">
        <v>4</v>
      </c>
      <c r="F4927" s="38">
        <v>64478</v>
      </c>
      <c r="G4927" s="38" t="s">
        <v>667</v>
      </c>
      <c r="H4927" s="25" t="str">
        <f t="shared" si="160"/>
        <v>平成12年4月3日</v>
      </c>
      <c r="I4927" s="22">
        <f t="shared" si="161"/>
        <v>36619</v>
      </c>
      <c r="J4927" s="1" t="str">
        <f>"00738693"</f>
        <v>00738693</v>
      </c>
      <c r="K4927" s="1" t="str">
        <f>"１６６８　　　　　　　　　　　　　　　　"</f>
        <v>１６６８　　　　　　　　　　　　　　　　</v>
      </c>
      <c r="L4927" s="1"/>
    </row>
    <row r="4928" spans="1:12" ht="18" customHeight="1" x14ac:dyDescent="0.15">
      <c r="A4928" s="1">
        <v>1154</v>
      </c>
      <c r="B4928" s="25" t="s">
        <v>28</v>
      </c>
      <c r="C4928" s="25" t="s">
        <v>149</v>
      </c>
      <c r="D4928" s="25">
        <v>1</v>
      </c>
      <c r="E4928" s="25" t="s">
        <v>4</v>
      </c>
      <c r="F4928" s="38">
        <v>64478</v>
      </c>
      <c r="G4928" s="38" t="s">
        <v>667</v>
      </c>
      <c r="H4928" s="25" t="str">
        <f t="shared" si="160"/>
        <v>平成12年4月3日</v>
      </c>
      <c r="I4928" s="22">
        <f t="shared" si="161"/>
        <v>36619</v>
      </c>
      <c r="J4928" s="1" t="str">
        <f>"00738695"</f>
        <v>00738695</v>
      </c>
      <c r="K4928" s="1" t="str">
        <f>"１６７０　　　　　　　　　　　　　　　　"</f>
        <v>１６７０　　　　　　　　　　　　　　　　</v>
      </c>
      <c r="L4928" s="1"/>
    </row>
    <row r="4929" spans="1:12" ht="18" customHeight="1" x14ac:dyDescent="0.15">
      <c r="A4929" s="1">
        <v>1155</v>
      </c>
      <c r="B4929" s="25" t="s">
        <v>28</v>
      </c>
      <c r="C4929" s="25" t="s">
        <v>149</v>
      </c>
      <c r="D4929" s="25">
        <v>1</v>
      </c>
      <c r="E4929" s="25" t="s">
        <v>4</v>
      </c>
      <c r="F4929" s="38">
        <v>64478</v>
      </c>
      <c r="G4929" s="38" t="s">
        <v>667</v>
      </c>
      <c r="H4929" s="25" t="str">
        <f t="shared" si="160"/>
        <v>平成12年4月3日</v>
      </c>
      <c r="I4929" s="22">
        <f t="shared" si="161"/>
        <v>36619</v>
      </c>
      <c r="J4929" s="1" t="str">
        <f>"00738697"</f>
        <v>00738697</v>
      </c>
      <c r="K4929" s="1" t="str">
        <f>"１６７１　　　　　　　　　　　　　　　　"</f>
        <v>１６７１　　　　　　　　　　　　　　　　</v>
      </c>
      <c r="L4929" s="1"/>
    </row>
    <row r="4930" spans="1:12" ht="18" customHeight="1" x14ac:dyDescent="0.15">
      <c r="A4930" s="1">
        <v>1156</v>
      </c>
      <c r="B4930" s="25" t="s">
        <v>28</v>
      </c>
      <c r="C4930" s="25" t="s">
        <v>149</v>
      </c>
      <c r="D4930" s="25">
        <v>1</v>
      </c>
      <c r="E4930" s="25" t="s">
        <v>4</v>
      </c>
      <c r="F4930" s="38">
        <v>64478</v>
      </c>
      <c r="G4930" s="38" t="s">
        <v>667</v>
      </c>
      <c r="H4930" s="25" t="str">
        <f t="shared" si="160"/>
        <v>平成12年4月3日</v>
      </c>
      <c r="I4930" s="22">
        <f t="shared" si="161"/>
        <v>36619</v>
      </c>
      <c r="J4930" s="1" t="str">
        <f>"00738699"</f>
        <v>00738699</v>
      </c>
      <c r="K4930" s="1" t="str">
        <f>"１６７２　　　　　　　　　　　　　　　　"</f>
        <v>１６７２　　　　　　　　　　　　　　　　</v>
      </c>
      <c r="L4930" s="1"/>
    </row>
    <row r="4931" spans="1:12" ht="18" customHeight="1" x14ac:dyDescent="0.15">
      <c r="A4931" s="1">
        <v>1157</v>
      </c>
      <c r="B4931" s="25" t="s">
        <v>28</v>
      </c>
      <c r="C4931" s="25" t="s">
        <v>149</v>
      </c>
      <c r="D4931" s="25">
        <v>1</v>
      </c>
      <c r="E4931" s="25" t="s">
        <v>4</v>
      </c>
      <c r="F4931" s="38">
        <v>64478</v>
      </c>
      <c r="G4931" s="38" t="s">
        <v>667</v>
      </c>
      <c r="H4931" s="25" t="str">
        <f t="shared" si="160"/>
        <v>平成12年4月3日</v>
      </c>
      <c r="I4931" s="22">
        <f t="shared" si="161"/>
        <v>36619</v>
      </c>
      <c r="J4931" s="1" t="str">
        <f>"00738701"</f>
        <v>00738701</v>
      </c>
      <c r="K4931" s="1" t="str">
        <f>"１６７３　　　　　　　　　　　　　　　　"</f>
        <v>１６７３　　　　　　　　　　　　　　　　</v>
      </c>
      <c r="L4931" s="1"/>
    </row>
    <row r="4932" spans="1:12" ht="18" customHeight="1" x14ac:dyDescent="0.15">
      <c r="A4932" s="1">
        <v>3764</v>
      </c>
      <c r="B4932" s="25" t="s">
        <v>206</v>
      </c>
      <c r="C4932" s="25" t="s">
        <v>218</v>
      </c>
      <c r="D4932" s="25">
        <v>1</v>
      </c>
      <c r="E4932" s="25" t="s">
        <v>4</v>
      </c>
      <c r="F4932" s="38">
        <v>59640</v>
      </c>
      <c r="G4932" s="38" t="s">
        <v>667</v>
      </c>
      <c r="H4932" s="25" t="str">
        <f t="shared" si="160"/>
        <v>平成12年4月3日</v>
      </c>
      <c r="I4932" s="22">
        <f t="shared" si="161"/>
        <v>36619</v>
      </c>
      <c r="J4932" s="1" t="str">
        <f>"00743961"</f>
        <v>00743961</v>
      </c>
      <c r="K4932" s="1" t="str">
        <f>"３５８　　　　　　　　　　　　　　　　　"</f>
        <v>３５８　　　　　　　　　　　　　　　　　</v>
      </c>
      <c r="L4932" s="1"/>
    </row>
    <row r="4933" spans="1:12" ht="18" customHeight="1" x14ac:dyDescent="0.15">
      <c r="A4933" s="1">
        <v>3765</v>
      </c>
      <c r="B4933" s="25" t="s">
        <v>206</v>
      </c>
      <c r="C4933" s="25" t="s">
        <v>218</v>
      </c>
      <c r="D4933" s="25">
        <v>1</v>
      </c>
      <c r="E4933" s="25" t="s">
        <v>4</v>
      </c>
      <c r="F4933" s="38">
        <v>59640</v>
      </c>
      <c r="G4933" s="38" t="s">
        <v>667</v>
      </c>
      <c r="H4933" s="25" t="str">
        <f t="shared" si="160"/>
        <v>平成12年4月3日</v>
      </c>
      <c r="I4933" s="22">
        <f t="shared" si="161"/>
        <v>36619</v>
      </c>
      <c r="J4933" s="1" t="str">
        <f>"00743963"</f>
        <v>00743963</v>
      </c>
      <c r="K4933" s="1" t="str">
        <f>"３５９　　　　　　　　　　　　　　　　　"</f>
        <v>３５９　　　　　　　　　　　　　　　　　</v>
      </c>
      <c r="L4933" s="1"/>
    </row>
    <row r="4934" spans="1:12" ht="18" customHeight="1" x14ac:dyDescent="0.15">
      <c r="A4934" s="1">
        <v>3766</v>
      </c>
      <c r="B4934" s="25" t="s">
        <v>206</v>
      </c>
      <c r="C4934" s="25" t="s">
        <v>218</v>
      </c>
      <c r="D4934" s="25">
        <v>1</v>
      </c>
      <c r="E4934" s="25" t="s">
        <v>4</v>
      </c>
      <c r="F4934" s="38">
        <v>59640</v>
      </c>
      <c r="G4934" s="38" t="s">
        <v>667</v>
      </c>
      <c r="H4934" s="25" t="str">
        <f t="shared" si="160"/>
        <v>平成12年4月3日</v>
      </c>
      <c r="I4934" s="22">
        <f t="shared" si="161"/>
        <v>36619</v>
      </c>
      <c r="J4934" s="1" t="str">
        <f>"00743965"</f>
        <v>00743965</v>
      </c>
      <c r="K4934" s="1" t="str">
        <f>"３６０　　　　　　　　　　　　　　　　　"</f>
        <v>３６０　　　　　　　　　　　　　　　　　</v>
      </c>
      <c r="L4934" s="1"/>
    </row>
    <row r="4935" spans="1:12" ht="18" customHeight="1" x14ac:dyDescent="0.15">
      <c r="A4935" s="1">
        <v>3767</v>
      </c>
      <c r="B4935" s="25" t="s">
        <v>206</v>
      </c>
      <c r="C4935" s="25" t="s">
        <v>218</v>
      </c>
      <c r="D4935" s="25">
        <v>1</v>
      </c>
      <c r="E4935" s="25" t="s">
        <v>4</v>
      </c>
      <c r="F4935" s="38">
        <v>59640</v>
      </c>
      <c r="G4935" s="38" t="s">
        <v>667</v>
      </c>
      <c r="H4935" s="25" t="str">
        <f t="shared" si="160"/>
        <v>平成12年4月3日</v>
      </c>
      <c r="I4935" s="22">
        <f t="shared" si="161"/>
        <v>36619</v>
      </c>
      <c r="J4935" s="1" t="str">
        <f>"00743967"</f>
        <v>00743967</v>
      </c>
      <c r="K4935" s="1" t="str">
        <f>"３６１　　　　　　　　　　　　　　　　　"</f>
        <v>３６１　　　　　　　　　　　　　　　　　</v>
      </c>
      <c r="L4935" s="1"/>
    </row>
    <row r="4936" spans="1:12" ht="18" customHeight="1" x14ac:dyDescent="0.15">
      <c r="A4936" s="1">
        <v>3768</v>
      </c>
      <c r="B4936" s="25" t="s">
        <v>206</v>
      </c>
      <c r="C4936" s="25" t="s">
        <v>219</v>
      </c>
      <c r="D4936" s="25">
        <v>1</v>
      </c>
      <c r="E4936" s="25" t="s">
        <v>4</v>
      </c>
      <c r="F4936" s="38">
        <v>72975</v>
      </c>
      <c r="G4936" s="38" t="s">
        <v>667</v>
      </c>
      <c r="H4936" s="25" t="str">
        <f t="shared" si="160"/>
        <v>平成12年4月3日</v>
      </c>
      <c r="I4936" s="22">
        <f t="shared" si="161"/>
        <v>36619</v>
      </c>
      <c r="J4936" s="1" t="str">
        <f>"00743969"</f>
        <v>00743969</v>
      </c>
      <c r="K4936" s="1" t="str">
        <f>"３６２　　　　　　　　　　　　　　　　　"</f>
        <v>３６２　　　　　　　　　　　　　　　　　</v>
      </c>
      <c r="L4936" s="1"/>
    </row>
    <row r="4937" spans="1:12" ht="18" customHeight="1" x14ac:dyDescent="0.15">
      <c r="A4937" s="1">
        <v>3769</v>
      </c>
      <c r="B4937" s="25" t="s">
        <v>206</v>
      </c>
      <c r="C4937" s="25" t="s">
        <v>219</v>
      </c>
      <c r="D4937" s="25">
        <v>1</v>
      </c>
      <c r="E4937" s="25" t="s">
        <v>4</v>
      </c>
      <c r="F4937" s="38">
        <v>72975</v>
      </c>
      <c r="G4937" s="38" t="s">
        <v>667</v>
      </c>
      <c r="H4937" s="25" t="str">
        <f t="shared" si="160"/>
        <v>平成12年4月3日</v>
      </c>
      <c r="I4937" s="22">
        <f t="shared" si="161"/>
        <v>36619</v>
      </c>
      <c r="J4937" s="1" t="str">
        <f>"00743971"</f>
        <v>00743971</v>
      </c>
      <c r="K4937" s="1" t="str">
        <f>"３６３　　　　　　　　　　　　　　　　　"</f>
        <v>３６３　　　　　　　　　　　　　　　　　</v>
      </c>
      <c r="L4937" s="1"/>
    </row>
    <row r="4938" spans="1:12" ht="18" customHeight="1" x14ac:dyDescent="0.15">
      <c r="A4938" s="1">
        <v>3770</v>
      </c>
      <c r="B4938" s="25" t="s">
        <v>206</v>
      </c>
      <c r="C4938" s="25" t="s">
        <v>219</v>
      </c>
      <c r="D4938" s="25">
        <v>1</v>
      </c>
      <c r="E4938" s="25" t="s">
        <v>4</v>
      </c>
      <c r="F4938" s="38">
        <v>72975</v>
      </c>
      <c r="G4938" s="38" t="s">
        <v>667</v>
      </c>
      <c r="H4938" s="25" t="str">
        <f t="shared" si="160"/>
        <v>平成12年4月3日</v>
      </c>
      <c r="I4938" s="22">
        <f t="shared" si="161"/>
        <v>36619</v>
      </c>
      <c r="J4938" s="1" t="str">
        <f>"00743973"</f>
        <v>00743973</v>
      </c>
      <c r="K4938" s="1" t="str">
        <f>"３６４　　　　　　　　　　　　　　　　　"</f>
        <v>３６４　　　　　　　　　　　　　　　　　</v>
      </c>
      <c r="L4938" s="1"/>
    </row>
    <row r="4939" spans="1:12" ht="18" customHeight="1" x14ac:dyDescent="0.15">
      <c r="A4939" s="1">
        <v>3771</v>
      </c>
      <c r="B4939" s="25" t="s">
        <v>206</v>
      </c>
      <c r="C4939" s="25" t="s">
        <v>219</v>
      </c>
      <c r="D4939" s="25">
        <v>1</v>
      </c>
      <c r="E4939" s="25" t="s">
        <v>4</v>
      </c>
      <c r="F4939" s="38">
        <v>72975</v>
      </c>
      <c r="G4939" s="38" t="s">
        <v>667</v>
      </c>
      <c r="H4939" s="25" t="str">
        <f t="shared" si="160"/>
        <v>平成12年4月3日</v>
      </c>
      <c r="I4939" s="22">
        <f t="shared" si="161"/>
        <v>36619</v>
      </c>
      <c r="J4939" s="1" t="str">
        <f>"00743975"</f>
        <v>00743975</v>
      </c>
      <c r="K4939" s="1" t="str">
        <f>"３６５　　　　　　　　　　　　　　　　　"</f>
        <v>３６５　　　　　　　　　　　　　　　　　</v>
      </c>
      <c r="L4939" s="1"/>
    </row>
    <row r="4940" spans="1:12" ht="18" customHeight="1" x14ac:dyDescent="0.15">
      <c r="A4940" s="1">
        <v>3937</v>
      </c>
      <c r="B4940" s="25" t="s">
        <v>67</v>
      </c>
      <c r="C4940" s="25" t="s">
        <v>241</v>
      </c>
      <c r="D4940" s="25">
        <v>1</v>
      </c>
      <c r="E4940" s="25" t="s">
        <v>4</v>
      </c>
      <c r="F4940" s="38">
        <v>38797</v>
      </c>
      <c r="G4940" s="38" t="s">
        <v>667</v>
      </c>
      <c r="H4940" s="25" t="str">
        <f t="shared" si="160"/>
        <v>平成12年4月3日</v>
      </c>
      <c r="I4940" s="22">
        <f t="shared" si="161"/>
        <v>36619</v>
      </c>
      <c r="J4940" s="1" t="str">
        <f>"00744342"</f>
        <v>00744342</v>
      </c>
      <c r="K4940" s="1" t="str">
        <f>"４８３　　　　　　　　　　　　　　　　　"</f>
        <v>４８３　　　　　　　　　　　　　　　　　</v>
      </c>
      <c r="L4940" s="1"/>
    </row>
    <row r="4941" spans="1:12" s="40" customFormat="1" ht="18" customHeight="1" x14ac:dyDescent="0.15">
      <c r="A4941" s="25">
        <v>4609</v>
      </c>
      <c r="B4941" s="25" t="s">
        <v>382</v>
      </c>
      <c r="C4941" s="25" t="s">
        <v>389</v>
      </c>
      <c r="D4941" s="25">
        <v>1</v>
      </c>
      <c r="E4941" s="25" t="s">
        <v>4</v>
      </c>
      <c r="F4941" s="38">
        <v>179550</v>
      </c>
      <c r="G4941" s="38" t="s">
        <v>666</v>
      </c>
      <c r="H4941" s="25" t="str">
        <f t="shared" si="160"/>
        <v>平成12年4月3日</v>
      </c>
      <c r="I4941" s="39">
        <f t="shared" si="161"/>
        <v>36619</v>
      </c>
      <c r="J4941" s="25" t="str">
        <f>"00746127"</f>
        <v>00746127</v>
      </c>
      <c r="K4941" s="25" t="str">
        <f>"３３２　　　　　　　　　　　　　　　　　"</f>
        <v>３３２　　　　　　　　　　　　　　　　　</v>
      </c>
      <c r="L4941" s="25"/>
    </row>
    <row r="4942" spans="1:12" s="40" customFormat="1" ht="18" customHeight="1" x14ac:dyDescent="0.15">
      <c r="A4942" s="25">
        <v>4610</v>
      </c>
      <c r="B4942" s="25" t="s">
        <v>382</v>
      </c>
      <c r="C4942" s="25" t="s">
        <v>389</v>
      </c>
      <c r="D4942" s="25">
        <v>1</v>
      </c>
      <c r="E4942" s="25" t="s">
        <v>4</v>
      </c>
      <c r="F4942" s="38">
        <v>179550</v>
      </c>
      <c r="G4942" s="38" t="s">
        <v>666</v>
      </c>
      <c r="H4942" s="25" t="str">
        <f t="shared" si="160"/>
        <v>平成12年4月3日</v>
      </c>
      <c r="I4942" s="39">
        <f t="shared" si="161"/>
        <v>36619</v>
      </c>
      <c r="J4942" s="25" t="str">
        <f>"00746129"</f>
        <v>00746129</v>
      </c>
      <c r="K4942" s="25" t="str">
        <f>"３３３　　　　　　　　　　　　　　　　　"</f>
        <v>３３３　　　　　　　　　　　　　　　　　</v>
      </c>
      <c r="L4942" s="25"/>
    </row>
    <row r="4943" spans="1:12" s="40" customFormat="1" ht="18" customHeight="1" x14ac:dyDescent="0.15">
      <c r="A4943" s="25">
        <v>4611</v>
      </c>
      <c r="B4943" s="25" t="s">
        <v>390</v>
      </c>
      <c r="C4943" s="25" t="s">
        <v>391</v>
      </c>
      <c r="D4943" s="25">
        <v>1</v>
      </c>
      <c r="E4943" s="25" t="s">
        <v>4</v>
      </c>
      <c r="F4943" s="38">
        <v>108150</v>
      </c>
      <c r="G4943" s="38" t="s">
        <v>666</v>
      </c>
      <c r="H4943" s="25" t="str">
        <f t="shared" si="160"/>
        <v>平成12年4月3日</v>
      </c>
      <c r="I4943" s="39">
        <f t="shared" si="161"/>
        <v>36619</v>
      </c>
      <c r="J4943" s="25" t="str">
        <f>"00746131"</f>
        <v>00746131</v>
      </c>
      <c r="K4943" s="25" t="str">
        <f>"１　　　　　　　　　　　　　　　　　　　"</f>
        <v>１　　　　　　　　　　　　　　　　　　　</v>
      </c>
      <c r="L4943" s="25"/>
    </row>
    <row r="4944" spans="1:12" ht="18" customHeight="1" x14ac:dyDescent="0.15">
      <c r="A4944" s="1">
        <v>4629</v>
      </c>
      <c r="B4944" s="25" t="s">
        <v>59</v>
      </c>
      <c r="C4944" s="25" t="s">
        <v>394</v>
      </c>
      <c r="D4944" s="25">
        <v>1</v>
      </c>
      <c r="E4944" s="25" t="s">
        <v>21</v>
      </c>
      <c r="F4944" s="38">
        <v>67779</v>
      </c>
      <c r="G4944" s="38" t="s">
        <v>667</v>
      </c>
      <c r="H4944" s="25" t="str">
        <f t="shared" si="160"/>
        <v>平成12年4月3日</v>
      </c>
      <c r="I4944" s="22">
        <f t="shared" si="161"/>
        <v>36619</v>
      </c>
      <c r="J4944" s="1" t="str">
        <f>"00746169"</f>
        <v>00746169</v>
      </c>
      <c r="K4944" s="1" t="str">
        <f>"３３２　　　　　　　　　　　　　　　　　"</f>
        <v>３３２　　　　　　　　　　　　　　　　　</v>
      </c>
      <c r="L4944" s="1"/>
    </row>
    <row r="4945" spans="1:12" ht="18" customHeight="1" x14ac:dyDescent="0.15">
      <c r="A4945" s="1">
        <v>4630</v>
      </c>
      <c r="B4945" s="25" t="s">
        <v>59</v>
      </c>
      <c r="C4945" s="25" t="s">
        <v>394</v>
      </c>
      <c r="D4945" s="25">
        <v>1</v>
      </c>
      <c r="E4945" s="25" t="s">
        <v>21</v>
      </c>
      <c r="F4945" s="38">
        <v>67779</v>
      </c>
      <c r="G4945" s="38" t="s">
        <v>667</v>
      </c>
      <c r="H4945" s="25" t="str">
        <f t="shared" si="160"/>
        <v>平成12年4月3日</v>
      </c>
      <c r="I4945" s="22">
        <f t="shared" si="161"/>
        <v>36619</v>
      </c>
      <c r="J4945" s="1" t="str">
        <f>"00746171"</f>
        <v>00746171</v>
      </c>
      <c r="K4945" s="1" t="str">
        <f>"３３３　　　　　　　　　　　　　　　　　"</f>
        <v>３３３　　　　　　　　　　　　　　　　　</v>
      </c>
      <c r="L4945" s="1"/>
    </row>
    <row r="4946" spans="1:12" ht="18" customHeight="1" x14ac:dyDescent="0.15">
      <c r="A4946" s="1">
        <v>4631</v>
      </c>
      <c r="B4946" s="25" t="s">
        <v>59</v>
      </c>
      <c r="C4946" s="25" t="s">
        <v>395</v>
      </c>
      <c r="D4946" s="25">
        <v>1</v>
      </c>
      <c r="E4946" s="25" t="s">
        <v>21</v>
      </c>
      <c r="F4946" s="38">
        <v>148995</v>
      </c>
      <c r="G4946" s="38" t="s">
        <v>667</v>
      </c>
      <c r="H4946" s="25" t="str">
        <f t="shared" si="160"/>
        <v>平成12年4月3日</v>
      </c>
      <c r="I4946" s="22">
        <f t="shared" si="161"/>
        <v>36619</v>
      </c>
      <c r="J4946" s="1" t="str">
        <f>"00746177"</f>
        <v>00746177</v>
      </c>
      <c r="K4946" s="1" t="str">
        <f>"３３６　　　　　　　　　　　　　　　　　"</f>
        <v>３３６　　　　　　　　　　　　　　　　　</v>
      </c>
      <c r="L4946" s="1"/>
    </row>
    <row r="4947" spans="1:12" ht="18" customHeight="1" x14ac:dyDescent="0.15">
      <c r="A4947" s="1">
        <v>4632</v>
      </c>
      <c r="B4947" s="25" t="s">
        <v>59</v>
      </c>
      <c r="C4947" s="25" t="s">
        <v>395</v>
      </c>
      <c r="D4947" s="25">
        <v>1</v>
      </c>
      <c r="E4947" s="25" t="s">
        <v>21</v>
      </c>
      <c r="F4947" s="38">
        <v>148995</v>
      </c>
      <c r="G4947" s="38" t="s">
        <v>667</v>
      </c>
      <c r="H4947" s="25" t="str">
        <f t="shared" si="160"/>
        <v>平成12年4月3日</v>
      </c>
      <c r="I4947" s="22">
        <f t="shared" si="161"/>
        <v>36619</v>
      </c>
      <c r="J4947" s="1" t="str">
        <f>"00746179"</f>
        <v>00746179</v>
      </c>
      <c r="K4947" s="1" t="str">
        <f>"３３７　　　　　　　　　　　　　　　　　"</f>
        <v>３３７　　　　　　　　　　　　　　　　　</v>
      </c>
      <c r="L4947" s="1"/>
    </row>
    <row r="4948" spans="1:12" s="40" customFormat="1" ht="18" customHeight="1" x14ac:dyDescent="0.15">
      <c r="A4948" s="25">
        <v>4652</v>
      </c>
      <c r="B4948" s="25" t="s">
        <v>403</v>
      </c>
      <c r="C4948" s="25" t="s">
        <v>405</v>
      </c>
      <c r="D4948" s="25">
        <v>1</v>
      </c>
      <c r="E4948" s="25" t="s">
        <v>9</v>
      </c>
      <c r="F4948" s="38">
        <v>94760</v>
      </c>
      <c r="G4948" s="38" t="s">
        <v>667</v>
      </c>
      <c r="H4948" s="25" t="str">
        <f t="shared" si="160"/>
        <v>平成12年4月3日</v>
      </c>
      <c r="I4948" s="39">
        <f t="shared" si="161"/>
        <v>36619</v>
      </c>
      <c r="J4948" s="25" t="str">
        <f>"00746228"</f>
        <v>00746228</v>
      </c>
      <c r="K4948" s="25" t="str">
        <f>"３１０　　　　　　　　　　　　　　　　　"</f>
        <v>３１０　　　　　　　　　　　　　　　　　</v>
      </c>
      <c r="L4948" s="25"/>
    </row>
    <row r="4949" spans="1:12" s="40" customFormat="1" ht="18" customHeight="1" x14ac:dyDescent="0.15">
      <c r="A4949" s="25">
        <v>4653</v>
      </c>
      <c r="B4949" s="25" t="s">
        <v>403</v>
      </c>
      <c r="C4949" s="25" t="s">
        <v>406</v>
      </c>
      <c r="D4949" s="25">
        <v>1</v>
      </c>
      <c r="E4949" s="25" t="s">
        <v>9</v>
      </c>
      <c r="F4949" s="38">
        <v>138600</v>
      </c>
      <c r="G4949" s="38" t="s">
        <v>667</v>
      </c>
      <c r="H4949" s="25" t="str">
        <f t="shared" si="160"/>
        <v>平成12年4月3日</v>
      </c>
      <c r="I4949" s="39">
        <f t="shared" si="161"/>
        <v>36619</v>
      </c>
      <c r="J4949" s="25" t="str">
        <f>"00746232"</f>
        <v>00746232</v>
      </c>
      <c r="K4949" s="25" t="str">
        <f>"３１２　　　　　　　　　　　　　　　　　"</f>
        <v>３１２　　　　　　　　　　　　　　　　　</v>
      </c>
      <c r="L4949" s="25"/>
    </row>
    <row r="4950" spans="1:12" s="40" customFormat="1" ht="18" customHeight="1" x14ac:dyDescent="0.15">
      <c r="A4950" s="25">
        <v>4654</v>
      </c>
      <c r="B4950" s="25" t="s">
        <v>403</v>
      </c>
      <c r="C4950" s="25" t="s">
        <v>406</v>
      </c>
      <c r="D4950" s="25">
        <v>1</v>
      </c>
      <c r="E4950" s="25" t="s">
        <v>9</v>
      </c>
      <c r="F4950" s="38">
        <v>138600</v>
      </c>
      <c r="G4950" s="38" t="s">
        <v>667</v>
      </c>
      <c r="H4950" s="25" t="str">
        <f t="shared" si="160"/>
        <v>平成12年4月3日</v>
      </c>
      <c r="I4950" s="39">
        <f t="shared" si="161"/>
        <v>36619</v>
      </c>
      <c r="J4950" s="25" t="str">
        <f>"00746234"</f>
        <v>00746234</v>
      </c>
      <c r="K4950" s="25" t="str">
        <f>"３１３　　　　　　　　　　　　　　　　　"</f>
        <v>３１３　　　　　　　　　　　　　　　　　</v>
      </c>
      <c r="L4950" s="25"/>
    </row>
    <row r="4951" spans="1:12" s="40" customFormat="1" ht="18" customHeight="1" x14ac:dyDescent="0.15">
      <c r="A4951" s="25">
        <v>4680</v>
      </c>
      <c r="B4951" s="25" t="s">
        <v>408</v>
      </c>
      <c r="C4951" s="25" t="s">
        <v>417</v>
      </c>
      <c r="D4951" s="25">
        <v>1</v>
      </c>
      <c r="E4951" s="25" t="s">
        <v>9</v>
      </c>
      <c r="F4951" s="38">
        <v>47775</v>
      </c>
      <c r="G4951" s="56" t="s">
        <v>667</v>
      </c>
      <c r="H4951" s="25" t="str">
        <f t="shared" si="160"/>
        <v>平成12年4月3日</v>
      </c>
      <c r="I4951" s="39">
        <f t="shared" si="161"/>
        <v>36619</v>
      </c>
      <c r="J4951" s="25" t="str">
        <f>"00746303"</f>
        <v>00746303</v>
      </c>
      <c r="K4951" s="25" t="str">
        <f>"３８３　　　　　　　　　　　　　　　　　"</f>
        <v>３８３　　　　　　　　　　　　　　　　　</v>
      </c>
      <c r="L4951" s="25" t="s">
        <v>788</v>
      </c>
    </row>
    <row r="4952" spans="1:12" s="40" customFormat="1" ht="18" customHeight="1" x14ac:dyDescent="0.15">
      <c r="A4952" s="25">
        <v>4681</v>
      </c>
      <c r="B4952" s="25" t="s">
        <v>418</v>
      </c>
      <c r="C4952" s="25" t="s">
        <v>419</v>
      </c>
      <c r="D4952" s="25">
        <v>1</v>
      </c>
      <c r="E4952" s="25" t="s">
        <v>4</v>
      </c>
      <c r="F4952" s="38">
        <v>30797</v>
      </c>
      <c r="G4952" s="38" t="s">
        <v>667</v>
      </c>
      <c r="H4952" s="25" t="str">
        <f t="shared" si="160"/>
        <v>平成12年4月3日</v>
      </c>
      <c r="I4952" s="39">
        <f t="shared" si="161"/>
        <v>36619</v>
      </c>
      <c r="J4952" s="25" t="str">
        <f>"00746309"</f>
        <v>00746309</v>
      </c>
      <c r="K4952" s="25" t="str">
        <f>"３０４　　　　　　　　　　　　　　　　　"</f>
        <v>３０４　　　　　　　　　　　　　　　　　</v>
      </c>
      <c r="L4952" s="25"/>
    </row>
    <row r="4953" spans="1:12" s="40" customFormat="1" ht="18" customHeight="1" x14ac:dyDescent="0.15">
      <c r="A4953" s="25">
        <v>4682</v>
      </c>
      <c r="B4953" s="25" t="s">
        <v>418</v>
      </c>
      <c r="C4953" s="25" t="s">
        <v>419</v>
      </c>
      <c r="D4953" s="25">
        <v>1</v>
      </c>
      <c r="E4953" s="25" t="s">
        <v>4</v>
      </c>
      <c r="F4953" s="38">
        <v>30797</v>
      </c>
      <c r="G4953" s="38" t="s">
        <v>667</v>
      </c>
      <c r="H4953" s="25" t="str">
        <f t="shared" si="160"/>
        <v>平成12年4月3日</v>
      </c>
      <c r="I4953" s="39">
        <f t="shared" si="161"/>
        <v>36619</v>
      </c>
      <c r="J4953" s="25" t="str">
        <f>"00746311"</f>
        <v>00746311</v>
      </c>
      <c r="K4953" s="25" t="str">
        <f>"３０５　　　　　　　　　　　　　　　　　"</f>
        <v>３０５　　　　　　　　　　　　　　　　　</v>
      </c>
      <c r="L4953" s="25"/>
    </row>
    <row r="4954" spans="1:12" s="40" customFormat="1" ht="18" customHeight="1" x14ac:dyDescent="0.15">
      <c r="A4954" s="25">
        <v>4683</v>
      </c>
      <c r="B4954" s="25" t="s">
        <v>418</v>
      </c>
      <c r="C4954" s="25" t="s">
        <v>420</v>
      </c>
      <c r="D4954" s="25">
        <v>1</v>
      </c>
      <c r="E4954" s="25" t="s">
        <v>4</v>
      </c>
      <c r="F4954" s="38">
        <v>46586</v>
      </c>
      <c r="G4954" s="38" t="s">
        <v>667</v>
      </c>
      <c r="H4954" s="25" t="str">
        <f t="shared" si="160"/>
        <v>平成12年4月3日</v>
      </c>
      <c r="I4954" s="39">
        <f t="shared" si="161"/>
        <v>36619</v>
      </c>
      <c r="J4954" s="25" t="str">
        <f>"00746313"</f>
        <v>00746313</v>
      </c>
      <c r="K4954" s="25" t="str">
        <f>"３０６　　　　　　　　　　　　　　　　　"</f>
        <v>３０６　　　　　　　　　　　　　　　　　</v>
      </c>
      <c r="L4954" s="25"/>
    </row>
    <row r="4955" spans="1:12" s="40" customFormat="1" ht="18" customHeight="1" x14ac:dyDescent="0.15">
      <c r="A4955" s="25">
        <v>4684</v>
      </c>
      <c r="B4955" s="25" t="s">
        <v>421</v>
      </c>
      <c r="C4955" s="25" t="s">
        <v>422</v>
      </c>
      <c r="D4955" s="25">
        <v>1</v>
      </c>
      <c r="E4955" s="25" t="s">
        <v>4</v>
      </c>
      <c r="F4955" s="38">
        <v>33600</v>
      </c>
      <c r="G4955" s="38" t="s">
        <v>666</v>
      </c>
      <c r="H4955" s="25" t="str">
        <f t="shared" si="160"/>
        <v>平成12年4月3日</v>
      </c>
      <c r="I4955" s="39">
        <f t="shared" si="161"/>
        <v>36619</v>
      </c>
      <c r="J4955" s="25" t="str">
        <f>"00746327"</f>
        <v>00746327</v>
      </c>
      <c r="K4955" s="25" t="str">
        <f>"３０４　　　　　　　　　　　　　　　　　"</f>
        <v>３０４　　　　　　　　　　　　　　　　　</v>
      </c>
      <c r="L4955" s="25"/>
    </row>
    <row r="4956" spans="1:12" s="40" customFormat="1" ht="18" customHeight="1" x14ac:dyDescent="0.15">
      <c r="A4956" s="25">
        <v>4685</v>
      </c>
      <c r="B4956" s="25" t="s">
        <v>421</v>
      </c>
      <c r="C4956" s="25" t="s">
        <v>422</v>
      </c>
      <c r="D4956" s="25">
        <v>1</v>
      </c>
      <c r="E4956" s="25" t="s">
        <v>4</v>
      </c>
      <c r="F4956" s="38">
        <v>33600</v>
      </c>
      <c r="G4956" s="38" t="s">
        <v>666</v>
      </c>
      <c r="H4956" s="25" t="str">
        <f t="shared" si="160"/>
        <v>平成12年4月3日</v>
      </c>
      <c r="I4956" s="39">
        <f t="shared" si="161"/>
        <v>36619</v>
      </c>
      <c r="J4956" s="25" t="str">
        <f>"00746329"</f>
        <v>00746329</v>
      </c>
      <c r="K4956" s="25" t="str">
        <f>"３０５　　　　　　　　　　　　　　　　　"</f>
        <v>３０５　　　　　　　　　　　　　　　　　</v>
      </c>
      <c r="L4956" s="25"/>
    </row>
    <row r="4957" spans="1:12" s="40" customFormat="1" ht="18" customHeight="1" x14ac:dyDescent="0.15">
      <c r="A4957" s="25">
        <v>4686</v>
      </c>
      <c r="B4957" s="25" t="s">
        <v>421</v>
      </c>
      <c r="C4957" s="25" t="s">
        <v>422</v>
      </c>
      <c r="D4957" s="25">
        <v>1</v>
      </c>
      <c r="E4957" s="25" t="s">
        <v>4</v>
      </c>
      <c r="F4957" s="38">
        <v>33600</v>
      </c>
      <c r="G4957" s="38" t="s">
        <v>666</v>
      </c>
      <c r="H4957" s="25" t="str">
        <f t="shared" si="160"/>
        <v>平成12年4月3日</v>
      </c>
      <c r="I4957" s="39">
        <f t="shared" si="161"/>
        <v>36619</v>
      </c>
      <c r="J4957" s="25" t="str">
        <f>"00746331"</f>
        <v>00746331</v>
      </c>
      <c r="K4957" s="25" t="str">
        <f>"３０６　　　　　　　　　　　　　　　　　"</f>
        <v>３０６　　　　　　　　　　　　　　　　　</v>
      </c>
      <c r="L4957" s="25"/>
    </row>
    <row r="4958" spans="1:12" s="40" customFormat="1" ht="18" customHeight="1" x14ac:dyDescent="0.15">
      <c r="A4958" s="25">
        <v>4687</v>
      </c>
      <c r="B4958" s="25" t="s">
        <v>421</v>
      </c>
      <c r="C4958" s="25" t="s">
        <v>422</v>
      </c>
      <c r="D4958" s="25">
        <v>1</v>
      </c>
      <c r="E4958" s="25" t="s">
        <v>4</v>
      </c>
      <c r="F4958" s="38">
        <v>33600</v>
      </c>
      <c r="G4958" s="38" t="s">
        <v>666</v>
      </c>
      <c r="H4958" s="25" t="str">
        <f t="shared" si="160"/>
        <v>平成12年4月3日</v>
      </c>
      <c r="I4958" s="39">
        <f t="shared" si="161"/>
        <v>36619</v>
      </c>
      <c r="J4958" s="25" t="str">
        <f>"00746333"</f>
        <v>00746333</v>
      </c>
      <c r="K4958" s="25" t="str">
        <f>"３０７　　　　　　　　　　　　　　　　　"</f>
        <v>３０７　　　　　　　　　　　　　　　　　</v>
      </c>
      <c r="L4958" s="25"/>
    </row>
    <row r="4959" spans="1:12" s="40" customFormat="1" ht="18" customHeight="1" x14ac:dyDescent="0.15">
      <c r="A4959" s="25">
        <v>4688</v>
      </c>
      <c r="B4959" s="25" t="s">
        <v>421</v>
      </c>
      <c r="C4959" s="25" t="s">
        <v>422</v>
      </c>
      <c r="D4959" s="25">
        <v>1</v>
      </c>
      <c r="E4959" s="25" t="s">
        <v>4</v>
      </c>
      <c r="F4959" s="38">
        <v>33600</v>
      </c>
      <c r="G4959" s="38" t="s">
        <v>666</v>
      </c>
      <c r="H4959" s="25" t="str">
        <f t="shared" ref="H4959:H4968" si="162">"平成12年4月3日"</f>
        <v>平成12年4月3日</v>
      </c>
      <c r="I4959" s="39">
        <f t="shared" ref="I4959:I5022" si="163">DATEVALUE(H4959)</f>
        <v>36619</v>
      </c>
      <c r="J4959" s="25" t="str">
        <f>"00746335"</f>
        <v>00746335</v>
      </c>
      <c r="K4959" s="25" t="str">
        <f>"３０８　　　　　　　　　　　　　　　　　"</f>
        <v>３０８　　　　　　　　　　　　　　　　　</v>
      </c>
      <c r="L4959" s="25"/>
    </row>
    <row r="4960" spans="1:12" s="40" customFormat="1" ht="18" customHeight="1" x14ac:dyDescent="0.15">
      <c r="A4960" s="25">
        <v>4689</v>
      </c>
      <c r="B4960" s="25" t="s">
        <v>421</v>
      </c>
      <c r="C4960" s="25" t="s">
        <v>422</v>
      </c>
      <c r="D4960" s="25">
        <v>1</v>
      </c>
      <c r="E4960" s="25" t="s">
        <v>4</v>
      </c>
      <c r="F4960" s="38">
        <v>33600</v>
      </c>
      <c r="G4960" s="38" t="s">
        <v>666</v>
      </c>
      <c r="H4960" s="25" t="str">
        <f t="shared" si="162"/>
        <v>平成12年4月3日</v>
      </c>
      <c r="I4960" s="39">
        <f t="shared" si="163"/>
        <v>36619</v>
      </c>
      <c r="J4960" s="25" t="str">
        <f>"00746337"</f>
        <v>00746337</v>
      </c>
      <c r="K4960" s="25" t="str">
        <f>"３０９　　　　　　　　　　　　　　　　　"</f>
        <v>３０９　　　　　　　　　　　　　　　　　</v>
      </c>
      <c r="L4960" s="25"/>
    </row>
    <row r="4961" spans="1:12" s="40" customFormat="1" ht="18" customHeight="1" x14ac:dyDescent="0.15">
      <c r="A4961" s="25">
        <v>4770</v>
      </c>
      <c r="B4961" s="25" t="s">
        <v>452</v>
      </c>
      <c r="C4961" s="25" t="s">
        <v>453</v>
      </c>
      <c r="D4961" s="25">
        <v>1</v>
      </c>
      <c r="E4961" s="25" t="s">
        <v>4</v>
      </c>
      <c r="F4961" s="38">
        <v>297990</v>
      </c>
      <c r="G4961" s="38" t="s">
        <v>666</v>
      </c>
      <c r="H4961" s="25" t="str">
        <f t="shared" si="162"/>
        <v>平成12年4月3日</v>
      </c>
      <c r="I4961" s="39">
        <f t="shared" si="163"/>
        <v>36619</v>
      </c>
      <c r="J4961" s="25" t="str">
        <f>"00746519"</f>
        <v>00746519</v>
      </c>
      <c r="K4961" s="25" t="str">
        <f>"４３４　　　　　　　　　　　　　　　　　"</f>
        <v>４３４　　　　　　　　　　　　　　　　　</v>
      </c>
      <c r="L4961" s="25"/>
    </row>
    <row r="4962" spans="1:12" ht="18" customHeight="1" x14ac:dyDescent="0.15">
      <c r="A4962" s="1">
        <v>4878</v>
      </c>
      <c r="B4962" s="25" t="s">
        <v>495</v>
      </c>
      <c r="C4962" s="25" t="s">
        <v>496</v>
      </c>
      <c r="D4962" s="25">
        <v>1</v>
      </c>
      <c r="E4962" s="25" t="s">
        <v>4</v>
      </c>
      <c r="F4962" s="38">
        <v>25250</v>
      </c>
      <c r="G4962" s="38" t="s">
        <v>667</v>
      </c>
      <c r="H4962" s="25" t="str">
        <f t="shared" si="162"/>
        <v>平成12年4月3日</v>
      </c>
      <c r="I4962" s="22">
        <f t="shared" si="163"/>
        <v>36619</v>
      </c>
      <c r="J4962" s="1" t="str">
        <f>"00746919"</f>
        <v>00746919</v>
      </c>
      <c r="K4962" s="1" t="str">
        <f>"２　　　　　　　　　　　　　　　　　　　"</f>
        <v>２　　　　　　　　　　　　　　　　　　　</v>
      </c>
      <c r="L4962" s="1"/>
    </row>
    <row r="4963" spans="1:12" ht="18" customHeight="1" x14ac:dyDescent="0.15">
      <c r="A4963" s="1">
        <v>4879</v>
      </c>
      <c r="B4963" s="25" t="s">
        <v>495</v>
      </c>
      <c r="C4963" s="25" t="s">
        <v>496</v>
      </c>
      <c r="D4963" s="25">
        <v>1</v>
      </c>
      <c r="E4963" s="25" t="s">
        <v>4</v>
      </c>
      <c r="F4963" s="38">
        <v>25250</v>
      </c>
      <c r="G4963" s="38" t="s">
        <v>667</v>
      </c>
      <c r="H4963" s="25" t="str">
        <f t="shared" si="162"/>
        <v>平成12年4月3日</v>
      </c>
      <c r="I4963" s="22">
        <f t="shared" si="163"/>
        <v>36619</v>
      </c>
      <c r="J4963" s="1" t="str">
        <f>"00746921"</f>
        <v>00746921</v>
      </c>
      <c r="K4963" s="1" t="str">
        <f>"３　　　　　　　　　　　　　　　　　　　"</f>
        <v>３　　　　　　　　　　　　　　　　　　　</v>
      </c>
      <c r="L4963" s="1"/>
    </row>
    <row r="4964" spans="1:12" ht="18" customHeight="1" x14ac:dyDescent="0.15">
      <c r="A4964" s="1">
        <v>5088</v>
      </c>
      <c r="B4964" s="25" t="s">
        <v>520</v>
      </c>
      <c r="C4964" s="25" t="s">
        <v>526</v>
      </c>
      <c r="D4964" s="25">
        <v>1</v>
      </c>
      <c r="E4964" s="25" t="s">
        <v>21</v>
      </c>
      <c r="F4964" s="38">
        <v>25750</v>
      </c>
      <c r="G4964" s="38" t="s">
        <v>667</v>
      </c>
      <c r="H4964" s="25" t="str">
        <f t="shared" si="162"/>
        <v>平成12年4月3日</v>
      </c>
      <c r="I4964" s="22">
        <f t="shared" si="163"/>
        <v>36619</v>
      </c>
      <c r="J4964" s="1" t="str">
        <f>"00747411"</f>
        <v>00747411</v>
      </c>
      <c r="K4964" s="1" t="str">
        <f>"４２４　　　　　　　　　　　　　　　　　"</f>
        <v>４２４　　　　　　　　　　　　　　　　　</v>
      </c>
      <c r="L4964" s="1"/>
    </row>
    <row r="4965" spans="1:12" ht="18" customHeight="1" x14ac:dyDescent="0.15">
      <c r="A4965" s="1">
        <v>5089</v>
      </c>
      <c r="B4965" s="25" t="s">
        <v>520</v>
      </c>
      <c r="C4965" s="25" t="s">
        <v>527</v>
      </c>
      <c r="D4965" s="25">
        <v>1</v>
      </c>
      <c r="E4965" s="25" t="s">
        <v>21</v>
      </c>
      <c r="F4965" s="38">
        <v>43260</v>
      </c>
      <c r="G4965" s="38" t="s">
        <v>667</v>
      </c>
      <c r="H4965" s="25" t="str">
        <f t="shared" si="162"/>
        <v>平成12年4月3日</v>
      </c>
      <c r="I4965" s="22">
        <f t="shared" si="163"/>
        <v>36619</v>
      </c>
      <c r="J4965" s="1" t="str">
        <f>"00747413"</f>
        <v>00747413</v>
      </c>
      <c r="K4965" s="1" t="str">
        <f>"４２５　　　　　　　　　　　　　　　　　"</f>
        <v>４２５　　　　　　　　　　　　　　　　　</v>
      </c>
      <c r="L4965" s="1"/>
    </row>
    <row r="4966" spans="1:12" ht="18" customHeight="1" x14ac:dyDescent="0.15">
      <c r="A4966" s="1">
        <v>5090</v>
      </c>
      <c r="B4966" s="25" t="s">
        <v>520</v>
      </c>
      <c r="C4966" s="25" t="s">
        <v>528</v>
      </c>
      <c r="D4966" s="25">
        <v>1</v>
      </c>
      <c r="E4966" s="25" t="s">
        <v>21</v>
      </c>
      <c r="F4966" s="38">
        <v>315000</v>
      </c>
      <c r="G4966" s="38" t="s">
        <v>667</v>
      </c>
      <c r="H4966" s="25" t="str">
        <f t="shared" si="162"/>
        <v>平成12年4月3日</v>
      </c>
      <c r="I4966" s="22">
        <f t="shared" si="163"/>
        <v>36619</v>
      </c>
      <c r="J4966" s="1" t="str">
        <f>"00747415"</f>
        <v>00747415</v>
      </c>
      <c r="K4966" s="1" t="str">
        <f>"４２６　　　　　　　　　　　　　　　　　"</f>
        <v>４２６　　　　　　　　　　　　　　　　　</v>
      </c>
      <c r="L4966" s="1"/>
    </row>
    <row r="4967" spans="1:12" ht="18" customHeight="1" x14ac:dyDescent="0.15">
      <c r="A4967" s="1">
        <v>5091</v>
      </c>
      <c r="B4967" s="25" t="s">
        <v>520</v>
      </c>
      <c r="C4967" s="25" t="s">
        <v>528</v>
      </c>
      <c r="D4967" s="25">
        <v>1</v>
      </c>
      <c r="E4967" s="25" t="s">
        <v>21</v>
      </c>
      <c r="F4967" s="38">
        <v>315000</v>
      </c>
      <c r="G4967" s="38" t="s">
        <v>667</v>
      </c>
      <c r="H4967" s="25" t="str">
        <f t="shared" si="162"/>
        <v>平成12年4月3日</v>
      </c>
      <c r="I4967" s="22">
        <f t="shared" si="163"/>
        <v>36619</v>
      </c>
      <c r="J4967" s="1" t="str">
        <f>"00747417"</f>
        <v>00747417</v>
      </c>
      <c r="K4967" s="1" t="str">
        <f>"４２７　　　　　　　　　　　　　　　　　"</f>
        <v>４２７　　　　　　　　　　　　　　　　　</v>
      </c>
      <c r="L4967" s="1"/>
    </row>
    <row r="4968" spans="1:12" ht="18" customHeight="1" x14ac:dyDescent="0.15">
      <c r="A4968" s="1">
        <v>5574</v>
      </c>
      <c r="B4968" s="25" t="s">
        <v>536</v>
      </c>
      <c r="C4968" s="25" t="s">
        <v>582</v>
      </c>
      <c r="D4968" s="25">
        <v>1</v>
      </c>
      <c r="E4968" s="25" t="s">
        <v>9</v>
      </c>
      <c r="F4968" s="38">
        <v>90700</v>
      </c>
      <c r="G4968" s="38" t="s">
        <v>667</v>
      </c>
      <c r="H4968" s="25" t="str">
        <f t="shared" si="162"/>
        <v>平成12年4月3日</v>
      </c>
      <c r="I4968" s="22">
        <f t="shared" si="163"/>
        <v>36619</v>
      </c>
      <c r="J4968" s="1" t="str">
        <f>"00748390"</f>
        <v>00748390</v>
      </c>
      <c r="K4968" s="1" t="str">
        <f>"４０２　　　　　　　　　　　　　　　　　"</f>
        <v>４０２　　　　　　　　　　　　　　　　　</v>
      </c>
      <c r="L4968" s="1"/>
    </row>
    <row r="4969" spans="1:12" s="40" customFormat="1" ht="18" customHeight="1" x14ac:dyDescent="0.15">
      <c r="A4969" s="25">
        <v>4655</v>
      </c>
      <c r="B4969" s="25" t="s">
        <v>403</v>
      </c>
      <c r="C4969" s="25" t="s">
        <v>407</v>
      </c>
      <c r="D4969" s="25">
        <v>1</v>
      </c>
      <c r="E4969" s="25" t="s">
        <v>9</v>
      </c>
      <c r="F4969" s="38">
        <v>135450</v>
      </c>
      <c r="G4969" s="38" t="s">
        <v>666</v>
      </c>
      <c r="H4969" s="25" t="str">
        <f>"平成12年8月25日"</f>
        <v>平成12年8月25日</v>
      </c>
      <c r="I4969" s="39">
        <f t="shared" si="163"/>
        <v>36763</v>
      </c>
      <c r="J4969" s="25" t="str">
        <f>"00746236"</f>
        <v>00746236</v>
      </c>
      <c r="K4969" s="25" t="str">
        <f>"３１４　　　　　　　　　　　　　　　　　"</f>
        <v>３１４　　　　　　　　　　　　　　　　　</v>
      </c>
      <c r="L4969" s="25"/>
    </row>
    <row r="4970" spans="1:12" s="40" customFormat="1" ht="18" customHeight="1" x14ac:dyDescent="0.15">
      <c r="A4970" s="25">
        <v>4656</v>
      </c>
      <c r="B4970" s="25" t="s">
        <v>403</v>
      </c>
      <c r="C4970" s="25" t="s">
        <v>407</v>
      </c>
      <c r="D4970" s="25">
        <v>1</v>
      </c>
      <c r="E4970" s="25" t="s">
        <v>9</v>
      </c>
      <c r="F4970" s="38">
        <v>135450</v>
      </c>
      <c r="G4970" s="38" t="s">
        <v>666</v>
      </c>
      <c r="H4970" s="25" t="str">
        <f>"平成12年8月25日"</f>
        <v>平成12年8月25日</v>
      </c>
      <c r="I4970" s="39">
        <f t="shared" si="163"/>
        <v>36763</v>
      </c>
      <c r="J4970" s="25" t="str">
        <f>"00746238"</f>
        <v>00746238</v>
      </c>
      <c r="K4970" s="25" t="str">
        <f>"３１５　　　　　　　　　　　　　　　　　"</f>
        <v>３１５　　　　　　　　　　　　　　　　　</v>
      </c>
      <c r="L4970" s="25"/>
    </row>
    <row r="4971" spans="1:12" s="40" customFormat="1" ht="18" customHeight="1" x14ac:dyDescent="0.15">
      <c r="A4971" s="25">
        <v>4657</v>
      </c>
      <c r="B4971" s="25" t="s">
        <v>403</v>
      </c>
      <c r="C4971" s="25" t="s">
        <v>407</v>
      </c>
      <c r="D4971" s="25">
        <v>1</v>
      </c>
      <c r="E4971" s="25" t="s">
        <v>9</v>
      </c>
      <c r="F4971" s="38">
        <v>135450</v>
      </c>
      <c r="G4971" s="38" t="s">
        <v>666</v>
      </c>
      <c r="H4971" s="25" t="str">
        <f>"平成12年8月25日"</f>
        <v>平成12年8月25日</v>
      </c>
      <c r="I4971" s="39">
        <f t="shared" si="163"/>
        <v>36763</v>
      </c>
      <c r="J4971" s="25" t="str">
        <f>"00746240"</f>
        <v>00746240</v>
      </c>
      <c r="K4971" s="25" t="str">
        <f>"３１６　　　　　　　　　　　　　　　　　"</f>
        <v>３１６　　　　　　　　　　　　　　　　　</v>
      </c>
      <c r="L4971" s="25"/>
    </row>
    <row r="4972" spans="1:12" s="40" customFormat="1" ht="18" customHeight="1" x14ac:dyDescent="0.15">
      <c r="A4972" s="25">
        <v>4577</v>
      </c>
      <c r="B4972" s="25" t="s">
        <v>379</v>
      </c>
      <c r="C4972" s="25" t="s">
        <v>381</v>
      </c>
      <c r="D4972" s="25">
        <v>1</v>
      </c>
      <c r="E4972" s="25" t="s">
        <v>4</v>
      </c>
      <c r="F4972" s="38">
        <v>47303</v>
      </c>
      <c r="G4972" s="38" t="s">
        <v>666</v>
      </c>
      <c r="H4972" s="25" t="str">
        <f>"平成13年3月19日"</f>
        <v>平成13年3月19日</v>
      </c>
      <c r="I4972" s="39">
        <f t="shared" si="163"/>
        <v>36969</v>
      </c>
      <c r="J4972" s="25" t="str">
        <f>"00746063"</f>
        <v>00746063</v>
      </c>
      <c r="K4972" s="25" t="str">
        <f>"３１６　　　　　　　　　　　　　　　　　"</f>
        <v>３１６　　　　　　　　　　　　　　　　　</v>
      </c>
      <c r="L4972" s="25"/>
    </row>
    <row r="4973" spans="1:12" s="40" customFormat="1" ht="18" customHeight="1" x14ac:dyDescent="0.15">
      <c r="A4973" s="25">
        <v>4578</v>
      </c>
      <c r="B4973" s="25" t="s">
        <v>379</v>
      </c>
      <c r="C4973" s="25" t="s">
        <v>381</v>
      </c>
      <c r="D4973" s="25">
        <v>1</v>
      </c>
      <c r="E4973" s="25" t="s">
        <v>4</v>
      </c>
      <c r="F4973" s="38">
        <v>47303</v>
      </c>
      <c r="G4973" s="38" t="s">
        <v>666</v>
      </c>
      <c r="H4973" s="25" t="str">
        <f>"平成13年3月19日"</f>
        <v>平成13年3月19日</v>
      </c>
      <c r="I4973" s="39">
        <f t="shared" si="163"/>
        <v>36969</v>
      </c>
      <c r="J4973" s="25" t="str">
        <f>"00746064"</f>
        <v>00746064</v>
      </c>
      <c r="K4973" s="25" t="str">
        <f>"３１７　　　　　　　　　　　　　　　　　"</f>
        <v>３１７　　　　　　　　　　　　　　　　　</v>
      </c>
      <c r="L4973" s="25"/>
    </row>
    <row r="4974" spans="1:12" s="40" customFormat="1" ht="18" customHeight="1" x14ac:dyDescent="0.15">
      <c r="A4974" s="25">
        <v>4751</v>
      </c>
      <c r="B4974" s="25" t="s">
        <v>46</v>
      </c>
      <c r="C4974" s="25" t="s">
        <v>446</v>
      </c>
      <c r="D4974" s="25">
        <v>1</v>
      </c>
      <c r="E4974" s="25" t="s">
        <v>4</v>
      </c>
      <c r="F4974" s="38">
        <v>34965</v>
      </c>
      <c r="G4974" s="38" t="s">
        <v>667</v>
      </c>
      <c r="H4974" s="25" t="str">
        <f t="shared" ref="H4974:H4983" si="164">"平成13年3月22日"</f>
        <v>平成13年3月22日</v>
      </c>
      <c r="I4974" s="39">
        <f t="shared" si="163"/>
        <v>36972</v>
      </c>
      <c r="J4974" s="25" t="str">
        <f>"00746481"</f>
        <v>00746481</v>
      </c>
      <c r="K4974" s="25" t="str">
        <f>"４４９　　　　　　　　　　　　　　　　　"</f>
        <v>４４９　　　　　　　　　　　　　　　　　</v>
      </c>
      <c r="L4974" s="25"/>
    </row>
    <row r="4975" spans="1:12" s="40" customFormat="1" ht="18" customHeight="1" x14ac:dyDescent="0.15">
      <c r="A4975" s="25">
        <v>4752</v>
      </c>
      <c r="B4975" s="25" t="s">
        <v>46</v>
      </c>
      <c r="C4975" s="25" t="s">
        <v>446</v>
      </c>
      <c r="D4975" s="25">
        <v>1</v>
      </c>
      <c r="E4975" s="25" t="s">
        <v>4</v>
      </c>
      <c r="F4975" s="38">
        <v>34965</v>
      </c>
      <c r="G4975" s="38" t="s">
        <v>667</v>
      </c>
      <c r="H4975" s="25" t="str">
        <f t="shared" si="164"/>
        <v>平成13年3月22日</v>
      </c>
      <c r="I4975" s="39">
        <f t="shared" si="163"/>
        <v>36972</v>
      </c>
      <c r="J4975" s="25" t="str">
        <f>"00746483"</f>
        <v>00746483</v>
      </c>
      <c r="K4975" s="25" t="str">
        <f>"４５０　　　　　　　　　　　　　　　　　"</f>
        <v>４５０　　　　　　　　　　　　　　　　　</v>
      </c>
      <c r="L4975" s="25"/>
    </row>
    <row r="4976" spans="1:12" s="40" customFormat="1" ht="18" customHeight="1" x14ac:dyDescent="0.15">
      <c r="A4976" s="25">
        <v>4753</v>
      </c>
      <c r="B4976" s="25" t="s">
        <v>46</v>
      </c>
      <c r="C4976" s="25" t="s">
        <v>446</v>
      </c>
      <c r="D4976" s="25">
        <v>1</v>
      </c>
      <c r="E4976" s="25" t="s">
        <v>4</v>
      </c>
      <c r="F4976" s="38">
        <v>34965</v>
      </c>
      <c r="G4976" s="38" t="s">
        <v>667</v>
      </c>
      <c r="H4976" s="25" t="str">
        <f t="shared" si="164"/>
        <v>平成13年3月22日</v>
      </c>
      <c r="I4976" s="39">
        <f t="shared" si="163"/>
        <v>36972</v>
      </c>
      <c r="J4976" s="25" t="str">
        <f>"00746485"</f>
        <v>00746485</v>
      </c>
      <c r="K4976" s="25" t="str">
        <f>"４５１　　　　　　　　　　　　　　　　　"</f>
        <v>４５１　　　　　　　　　　　　　　　　　</v>
      </c>
      <c r="L4976" s="25"/>
    </row>
    <row r="4977" spans="1:12" s="40" customFormat="1" ht="18" customHeight="1" x14ac:dyDescent="0.15">
      <c r="A4977" s="25">
        <v>4754</v>
      </c>
      <c r="B4977" s="25" t="s">
        <v>46</v>
      </c>
      <c r="C4977" s="25" t="s">
        <v>446</v>
      </c>
      <c r="D4977" s="25">
        <v>1</v>
      </c>
      <c r="E4977" s="25" t="s">
        <v>4</v>
      </c>
      <c r="F4977" s="38">
        <v>34965</v>
      </c>
      <c r="G4977" s="38" t="s">
        <v>667</v>
      </c>
      <c r="H4977" s="25" t="str">
        <f t="shared" si="164"/>
        <v>平成13年3月22日</v>
      </c>
      <c r="I4977" s="39">
        <f t="shared" si="163"/>
        <v>36972</v>
      </c>
      <c r="J4977" s="25" t="str">
        <f>"00746487"</f>
        <v>00746487</v>
      </c>
      <c r="K4977" s="25" t="str">
        <f>"４５２　　　　　　　　　　　　　　　　　"</f>
        <v>４５２　　　　　　　　　　　　　　　　　</v>
      </c>
      <c r="L4977" s="25"/>
    </row>
    <row r="4978" spans="1:12" s="40" customFormat="1" ht="18" customHeight="1" x14ac:dyDescent="0.15">
      <c r="A4978" s="25">
        <v>4755</v>
      </c>
      <c r="B4978" s="25" t="s">
        <v>46</v>
      </c>
      <c r="C4978" s="25" t="s">
        <v>446</v>
      </c>
      <c r="D4978" s="25">
        <v>1</v>
      </c>
      <c r="E4978" s="25" t="s">
        <v>4</v>
      </c>
      <c r="F4978" s="38">
        <v>34965</v>
      </c>
      <c r="G4978" s="38" t="s">
        <v>667</v>
      </c>
      <c r="H4978" s="25" t="str">
        <f t="shared" si="164"/>
        <v>平成13年3月22日</v>
      </c>
      <c r="I4978" s="39">
        <f t="shared" si="163"/>
        <v>36972</v>
      </c>
      <c r="J4978" s="25" t="str">
        <f>"00746489"</f>
        <v>00746489</v>
      </c>
      <c r="K4978" s="25" t="str">
        <f>"４５３　　　　　　　　　　　　　　　　　"</f>
        <v>４５３　　　　　　　　　　　　　　　　　</v>
      </c>
      <c r="L4978" s="25"/>
    </row>
    <row r="4979" spans="1:12" s="40" customFormat="1" ht="18" customHeight="1" x14ac:dyDescent="0.15">
      <c r="A4979" s="25">
        <v>4756</v>
      </c>
      <c r="B4979" s="25" t="s">
        <v>46</v>
      </c>
      <c r="C4979" s="25" t="s">
        <v>446</v>
      </c>
      <c r="D4979" s="25">
        <v>1</v>
      </c>
      <c r="E4979" s="25" t="s">
        <v>4</v>
      </c>
      <c r="F4979" s="38">
        <v>34965</v>
      </c>
      <c r="G4979" s="38" t="s">
        <v>667</v>
      </c>
      <c r="H4979" s="25" t="str">
        <f t="shared" si="164"/>
        <v>平成13年3月22日</v>
      </c>
      <c r="I4979" s="39">
        <f t="shared" si="163"/>
        <v>36972</v>
      </c>
      <c r="J4979" s="25" t="str">
        <f>"00746491"</f>
        <v>00746491</v>
      </c>
      <c r="K4979" s="25" t="str">
        <f>"４５４　　　　　　　　　　　　　　　　　"</f>
        <v>４５４　　　　　　　　　　　　　　　　　</v>
      </c>
      <c r="L4979" s="25"/>
    </row>
    <row r="4980" spans="1:12" s="40" customFormat="1" ht="18" customHeight="1" x14ac:dyDescent="0.15">
      <c r="A4980" s="25">
        <v>4757</v>
      </c>
      <c r="B4980" s="25" t="s">
        <v>46</v>
      </c>
      <c r="C4980" s="25" t="s">
        <v>446</v>
      </c>
      <c r="D4980" s="25">
        <v>1</v>
      </c>
      <c r="E4980" s="25" t="s">
        <v>4</v>
      </c>
      <c r="F4980" s="38">
        <v>34965</v>
      </c>
      <c r="G4980" s="38" t="s">
        <v>667</v>
      </c>
      <c r="H4980" s="25" t="str">
        <f t="shared" si="164"/>
        <v>平成13年3月22日</v>
      </c>
      <c r="I4980" s="39">
        <f t="shared" si="163"/>
        <v>36972</v>
      </c>
      <c r="J4980" s="25" t="str">
        <f>"00746493"</f>
        <v>00746493</v>
      </c>
      <c r="K4980" s="25" t="str">
        <f>"４５５　　　　　　　　　　　　　　　　　"</f>
        <v>４５５　　　　　　　　　　　　　　　　　</v>
      </c>
      <c r="L4980" s="25"/>
    </row>
    <row r="4981" spans="1:12" s="40" customFormat="1" ht="18" customHeight="1" x14ac:dyDescent="0.15">
      <c r="A4981" s="25">
        <v>4758</v>
      </c>
      <c r="B4981" s="25" t="s">
        <v>46</v>
      </c>
      <c r="C4981" s="25" t="s">
        <v>446</v>
      </c>
      <c r="D4981" s="25">
        <v>1</v>
      </c>
      <c r="E4981" s="25" t="s">
        <v>4</v>
      </c>
      <c r="F4981" s="38">
        <v>34965</v>
      </c>
      <c r="G4981" s="38" t="s">
        <v>667</v>
      </c>
      <c r="H4981" s="25" t="str">
        <f t="shared" si="164"/>
        <v>平成13年3月22日</v>
      </c>
      <c r="I4981" s="39">
        <f t="shared" si="163"/>
        <v>36972</v>
      </c>
      <c r="J4981" s="25" t="str">
        <f>"00746495"</f>
        <v>00746495</v>
      </c>
      <c r="K4981" s="25" t="str">
        <f>"４５６　　　　　　　　　　　　　　　　　"</f>
        <v>４５６　　　　　　　　　　　　　　　　　</v>
      </c>
      <c r="L4981" s="25"/>
    </row>
    <row r="4982" spans="1:12" s="40" customFormat="1" ht="18" customHeight="1" x14ac:dyDescent="0.15">
      <c r="A4982" s="25">
        <v>4759</v>
      </c>
      <c r="B4982" s="25" t="s">
        <v>46</v>
      </c>
      <c r="C4982" s="25" t="s">
        <v>446</v>
      </c>
      <c r="D4982" s="25">
        <v>1</v>
      </c>
      <c r="E4982" s="25" t="s">
        <v>4</v>
      </c>
      <c r="F4982" s="38">
        <v>34965</v>
      </c>
      <c r="G4982" s="38" t="s">
        <v>667</v>
      </c>
      <c r="H4982" s="25" t="str">
        <f t="shared" si="164"/>
        <v>平成13年3月22日</v>
      </c>
      <c r="I4982" s="39">
        <f t="shared" si="163"/>
        <v>36972</v>
      </c>
      <c r="J4982" s="25" t="str">
        <f>"00746497"</f>
        <v>00746497</v>
      </c>
      <c r="K4982" s="25" t="str">
        <f>"４５７　　　　　　　　　　　　　　　　　"</f>
        <v>４５７　　　　　　　　　　　　　　　　　</v>
      </c>
      <c r="L4982" s="25"/>
    </row>
    <row r="4983" spans="1:12" s="40" customFormat="1" ht="18" customHeight="1" x14ac:dyDescent="0.15">
      <c r="A4983" s="25">
        <v>4760</v>
      </c>
      <c r="B4983" s="25" t="s">
        <v>46</v>
      </c>
      <c r="C4983" s="25" t="s">
        <v>446</v>
      </c>
      <c r="D4983" s="25">
        <v>1</v>
      </c>
      <c r="E4983" s="25" t="s">
        <v>4</v>
      </c>
      <c r="F4983" s="38">
        <v>34965</v>
      </c>
      <c r="G4983" s="38" t="s">
        <v>667</v>
      </c>
      <c r="H4983" s="25" t="str">
        <f t="shared" si="164"/>
        <v>平成13年3月22日</v>
      </c>
      <c r="I4983" s="39">
        <f t="shared" si="163"/>
        <v>36972</v>
      </c>
      <c r="J4983" s="25" t="str">
        <f>"00746499"</f>
        <v>00746499</v>
      </c>
      <c r="K4983" s="25" t="str">
        <f>"４５８　　　　　　　　　　　　　　　　　"</f>
        <v>４５８　　　　　　　　　　　　　　　　　</v>
      </c>
      <c r="L4983" s="25"/>
    </row>
    <row r="4984" spans="1:12" ht="18" customHeight="1" x14ac:dyDescent="0.15">
      <c r="A4984" s="1">
        <v>4531</v>
      </c>
      <c r="B4984" s="25" t="s">
        <v>369</v>
      </c>
      <c r="C4984" s="25" t="s">
        <v>372</v>
      </c>
      <c r="D4984" s="25">
        <v>1</v>
      </c>
      <c r="E4984" s="25" t="s">
        <v>4</v>
      </c>
      <c r="F4984" s="38">
        <v>28560</v>
      </c>
      <c r="G4984" s="38" t="s">
        <v>666</v>
      </c>
      <c r="H4984" s="25" t="str">
        <f>"平成13年3月23日"</f>
        <v>平成13年3月23日</v>
      </c>
      <c r="I4984" s="22">
        <f t="shared" si="163"/>
        <v>36973</v>
      </c>
      <c r="J4984" s="1" t="str">
        <f>"00745971"</f>
        <v>00745971</v>
      </c>
      <c r="K4984" s="1" t="str">
        <f>"３１４　　　　　　　　　　　　　　　　　"</f>
        <v>３１４　　　　　　　　　　　　　　　　　</v>
      </c>
      <c r="L4984" s="1"/>
    </row>
    <row r="4985" spans="1:12" ht="18" customHeight="1" x14ac:dyDescent="0.15">
      <c r="A4985" s="1">
        <v>4532</v>
      </c>
      <c r="B4985" s="25" t="s">
        <v>369</v>
      </c>
      <c r="C4985" s="25" t="s">
        <v>372</v>
      </c>
      <c r="D4985" s="25">
        <v>1</v>
      </c>
      <c r="E4985" s="25" t="s">
        <v>4</v>
      </c>
      <c r="F4985" s="38">
        <v>28560</v>
      </c>
      <c r="G4985" s="38" t="s">
        <v>666</v>
      </c>
      <c r="H4985" s="25" t="str">
        <f>"平成13年3月23日"</f>
        <v>平成13年3月23日</v>
      </c>
      <c r="I4985" s="22">
        <f t="shared" si="163"/>
        <v>36973</v>
      </c>
      <c r="J4985" s="1" t="str">
        <f>"00745973"</f>
        <v>00745973</v>
      </c>
      <c r="K4985" s="1" t="str">
        <f>"３１５　　　　　　　　　　　　　　　　　"</f>
        <v>３１５　　　　　　　　　　　　　　　　　</v>
      </c>
      <c r="L4985" s="1"/>
    </row>
    <row r="4986" spans="1:12" ht="18" customHeight="1" x14ac:dyDescent="0.15">
      <c r="A4986" s="1">
        <v>4533</v>
      </c>
      <c r="B4986" s="25" t="s">
        <v>369</v>
      </c>
      <c r="C4986" s="25" t="s">
        <v>372</v>
      </c>
      <c r="D4986" s="25">
        <v>1</v>
      </c>
      <c r="E4986" s="25" t="s">
        <v>4</v>
      </c>
      <c r="F4986" s="38">
        <v>28560</v>
      </c>
      <c r="G4986" s="38" t="s">
        <v>666</v>
      </c>
      <c r="H4986" s="25" t="str">
        <f>"平成13年3月23日"</f>
        <v>平成13年3月23日</v>
      </c>
      <c r="I4986" s="22">
        <f t="shared" si="163"/>
        <v>36973</v>
      </c>
      <c r="J4986" s="1" t="str">
        <f>"00745975"</f>
        <v>00745975</v>
      </c>
      <c r="K4986" s="1" t="str">
        <f>"３１６　　　　　　　　　　　　　　　　　"</f>
        <v>３１６　　　　　　　　　　　　　　　　　</v>
      </c>
      <c r="L4986" s="1"/>
    </row>
    <row r="4987" spans="1:12" ht="18" customHeight="1" x14ac:dyDescent="0.15">
      <c r="A4987" s="1">
        <v>4534</v>
      </c>
      <c r="B4987" s="25" t="s">
        <v>369</v>
      </c>
      <c r="C4987" s="25" t="s">
        <v>372</v>
      </c>
      <c r="D4987" s="25">
        <v>1</v>
      </c>
      <c r="E4987" s="25" t="s">
        <v>4</v>
      </c>
      <c r="F4987" s="38">
        <v>28560</v>
      </c>
      <c r="G4987" s="38" t="s">
        <v>666</v>
      </c>
      <c r="H4987" s="25" t="str">
        <f>"平成13年3月23日"</f>
        <v>平成13年3月23日</v>
      </c>
      <c r="I4987" s="22">
        <f t="shared" si="163"/>
        <v>36973</v>
      </c>
      <c r="J4987" s="1" t="str">
        <f>"00745977"</f>
        <v>00745977</v>
      </c>
      <c r="K4987" s="1" t="str">
        <f>"３１７　　　　　　　　　　　　　　　　　"</f>
        <v>３１７　　　　　　　　　　　　　　　　　</v>
      </c>
      <c r="L4987" s="1"/>
    </row>
    <row r="4988" spans="1:12" s="40" customFormat="1" ht="18" customHeight="1" x14ac:dyDescent="0.15">
      <c r="A4988" s="25">
        <v>28</v>
      </c>
      <c r="B4988" s="41" t="s">
        <v>44</v>
      </c>
      <c r="C4988" s="41" t="s">
        <v>45</v>
      </c>
      <c r="D4988" s="41">
        <v>1</v>
      </c>
      <c r="E4988" s="41" t="s">
        <v>4</v>
      </c>
      <c r="F4988" s="42">
        <v>4885160</v>
      </c>
      <c r="G4988" s="42" t="s">
        <v>667</v>
      </c>
      <c r="H4988" s="41" t="str">
        <f>"平成13年3月31日"</f>
        <v>平成13年3月31日</v>
      </c>
      <c r="I4988" s="39">
        <f t="shared" si="163"/>
        <v>36981</v>
      </c>
      <c r="J4988" s="41" t="str">
        <f>"00005563"</f>
        <v>00005563</v>
      </c>
      <c r="K4988" s="41" t="str">
        <f>"３３７　　　　　　　　　　　　　　　　　"</f>
        <v>３３７　　　　　　　　　　　　　　　　　</v>
      </c>
      <c r="L4988" s="41" t="s">
        <v>645</v>
      </c>
    </row>
    <row r="4989" spans="1:12" s="40" customFormat="1" ht="18" customHeight="1" x14ac:dyDescent="0.15">
      <c r="A4989" s="25">
        <v>4890</v>
      </c>
      <c r="B4989" s="25" t="s">
        <v>498</v>
      </c>
      <c r="C4989" s="25" t="s">
        <v>499</v>
      </c>
      <c r="D4989" s="25">
        <v>1</v>
      </c>
      <c r="E4989" s="25" t="s">
        <v>4</v>
      </c>
      <c r="F4989" s="38">
        <v>126000</v>
      </c>
      <c r="G4989" s="38" t="s">
        <v>667</v>
      </c>
      <c r="H4989" s="25" t="str">
        <f>"平成13年7月31日"</f>
        <v>平成13年7月31日</v>
      </c>
      <c r="I4989" s="39">
        <f t="shared" si="163"/>
        <v>37103</v>
      </c>
      <c r="J4989" s="25" t="str">
        <f>"00746943"</f>
        <v>00746943</v>
      </c>
      <c r="K4989" s="25" t="str">
        <f>"１　　　　　　　　　　　　　　　　　　　"</f>
        <v>１　　　　　　　　　　　　　　　　　　　</v>
      </c>
      <c r="L4989" s="25"/>
    </row>
    <row r="4990" spans="1:12" s="40" customFormat="1" ht="18" customHeight="1" x14ac:dyDescent="0.15">
      <c r="A4990" s="25">
        <v>4891</v>
      </c>
      <c r="B4990" s="25" t="s">
        <v>498</v>
      </c>
      <c r="C4990" s="25" t="s">
        <v>499</v>
      </c>
      <c r="D4990" s="25">
        <v>1</v>
      </c>
      <c r="E4990" s="25" t="s">
        <v>4</v>
      </c>
      <c r="F4990" s="38">
        <v>126000</v>
      </c>
      <c r="G4990" s="38" t="s">
        <v>667</v>
      </c>
      <c r="H4990" s="25" t="str">
        <f>"平成13年7月31日"</f>
        <v>平成13年7月31日</v>
      </c>
      <c r="I4990" s="39">
        <f t="shared" si="163"/>
        <v>37103</v>
      </c>
      <c r="J4990" s="25" t="str">
        <f>"00746945"</f>
        <v>00746945</v>
      </c>
      <c r="K4990" s="25" t="str">
        <f>"２　　　　　　　　　　　　　　　　　　　"</f>
        <v>２　　　　　　　　　　　　　　　　　　　</v>
      </c>
      <c r="L4990" s="25"/>
    </row>
    <row r="4991" spans="1:12" s="40" customFormat="1" ht="18" customHeight="1" x14ac:dyDescent="0.15">
      <c r="A4991" s="25">
        <v>4892</v>
      </c>
      <c r="B4991" s="25" t="s">
        <v>498</v>
      </c>
      <c r="C4991" s="25" t="s">
        <v>499</v>
      </c>
      <c r="D4991" s="25">
        <v>1</v>
      </c>
      <c r="E4991" s="25" t="s">
        <v>4</v>
      </c>
      <c r="F4991" s="38">
        <v>126000</v>
      </c>
      <c r="G4991" s="38" t="s">
        <v>667</v>
      </c>
      <c r="H4991" s="25" t="str">
        <f>"平成13年7月31日"</f>
        <v>平成13年7月31日</v>
      </c>
      <c r="I4991" s="39">
        <f t="shared" si="163"/>
        <v>37103</v>
      </c>
      <c r="J4991" s="25" t="str">
        <f>"00746947"</f>
        <v>00746947</v>
      </c>
      <c r="K4991" s="25" t="str">
        <f>"３　　　　　　　　　　　　　　　　　　　"</f>
        <v>３　　　　　　　　　　　　　　　　　　　</v>
      </c>
      <c r="L4991" s="25"/>
    </row>
    <row r="4992" spans="1:12" ht="18" customHeight="1" x14ac:dyDescent="0.15">
      <c r="A4992" s="1">
        <v>111</v>
      </c>
      <c r="B4992" s="25" t="s">
        <v>62</v>
      </c>
      <c r="C4992" s="25" t="s">
        <v>112</v>
      </c>
      <c r="D4992" s="25">
        <v>1</v>
      </c>
      <c r="E4992" s="25" t="s">
        <v>4</v>
      </c>
      <c r="F4992" s="38">
        <v>59430</v>
      </c>
      <c r="G4992" s="38" t="s">
        <v>667</v>
      </c>
      <c r="H4992" s="25" t="str">
        <f t="shared" ref="H4992:H5032" si="165">"平成14年3月31日"</f>
        <v>平成14年3月31日</v>
      </c>
      <c r="I4992" s="22">
        <f t="shared" si="163"/>
        <v>37346</v>
      </c>
      <c r="J4992" s="1" t="str">
        <f>"00736330"</f>
        <v>00736330</v>
      </c>
      <c r="K4992" s="1" t="str">
        <f>"１７　　　　　　　　　　　　　　　　　　"</f>
        <v>１７　　　　　　　　　　　　　　　　　　</v>
      </c>
      <c r="L4992" s="1"/>
    </row>
    <row r="4993" spans="1:12" ht="18" customHeight="1" x14ac:dyDescent="0.15">
      <c r="A4993" s="1">
        <v>112</v>
      </c>
      <c r="B4993" s="25" t="s">
        <v>62</v>
      </c>
      <c r="C4993" s="25" t="s">
        <v>112</v>
      </c>
      <c r="D4993" s="25">
        <v>1</v>
      </c>
      <c r="E4993" s="25" t="s">
        <v>4</v>
      </c>
      <c r="F4993" s="38">
        <v>59430</v>
      </c>
      <c r="G4993" s="38" t="s">
        <v>667</v>
      </c>
      <c r="H4993" s="25" t="str">
        <f t="shared" si="165"/>
        <v>平成14年3月31日</v>
      </c>
      <c r="I4993" s="22">
        <f t="shared" si="163"/>
        <v>37346</v>
      </c>
      <c r="J4993" s="1" t="str">
        <f>"00736333"</f>
        <v>00736333</v>
      </c>
      <c r="K4993" s="1" t="str">
        <f>"１８　　　　　　　　　　　　　　　　　　"</f>
        <v>１８　　　　　　　　　　　　　　　　　　</v>
      </c>
      <c r="L4993" s="1"/>
    </row>
    <row r="4994" spans="1:12" ht="18" customHeight="1" x14ac:dyDescent="0.15">
      <c r="A4994" s="1">
        <v>113</v>
      </c>
      <c r="B4994" s="25" t="s">
        <v>62</v>
      </c>
      <c r="C4994" s="25" t="s">
        <v>112</v>
      </c>
      <c r="D4994" s="25">
        <v>1</v>
      </c>
      <c r="E4994" s="25" t="s">
        <v>4</v>
      </c>
      <c r="F4994" s="38">
        <v>59430</v>
      </c>
      <c r="G4994" s="38" t="s">
        <v>667</v>
      </c>
      <c r="H4994" s="25" t="str">
        <f t="shared" si="165"/>
        <v>平成14年3月31日</v>
      </c>
      <c r="I4994" s="22">
        <f t="shared" si="163"/>
        <v>37346</v>
      </c>
      <c r="J4994" s="1" t="str">
        <f>"00736336"</f>
        <v>00736336</v>
      </c>
      <c r="K4994" s="1" t="str">
        <f>"１９　　　　　　　　　　　　　　　　　　"</f>
        <v>１９　　　　　　　　　　　　　　　　　　</v>
      </c>
      <c r="L4994" s="1"/>
    </row>
    <row r="4995" spans="1:12" ht="18" customHeight="1" x14ac:dyDescent="0.15">
      <c r="A4995" s="1">
        <v>114</v>
      </c>
      <c r="B4995" s="25" t="s">
        <v>62</v>
      </c>
      <c r="C4995" s="25" t="s">
        <v>112</v>
      </c>
      <c r="D4995" s="25">
        <v>1</v>
      </c>
      <c r="E4995" s="25" t="s">
        <v>4</v>
      </c>
      <c r="F4995" s="38">
        <v>59430</v>
      </c>
      <c r="G4995" s="38" t="s">
        <v>667</v>
      </c>
      <c r="H4995" s="25" t="str">
        <f t="shared" si="165"/>
        <v>平成14年3月31日</v>
      </c>
      <c r="I4995" s="22">
        <f t="shared" si="163"/>
        <v>37346</v>
      </c>
      <c r="J4995" s="1" t="str">
        <f>"00736339"</f>
        <v>00736339</v>
      </c>
      <c r="K4995" s="1" t="str">
        <f>"２０　　　　　　　　　　　　　　　　　　"</f>
        <v>２０　　　　　　　　　　　　　　　　　　</v>
      </c>
      <c r="L4995" s="1"/>
    </row>
    <row r="4996" spans="1:12" ht="18" customHeight="1" x14ac:dyDescent="0.15">
      <c r="A4996" s="1">
        <v>115</v>
      </c>
      <c r="B4996" s="25" t="s">
        <v>62</v>
      </c>
      <c r="C4996" s="25" t="s">
        <v>112</v>
      </c>
      <c r="D4996" s="25">
        <v>1</v>
      </c>
      <c r="E4996" s="25" t="s">
        <v>4</v>
      </c>
      <c r="F4996" s="38">
        <v>59430</v>
      </c>
      <c r="G4996" s="38" t="s">
        <v>667</v>
      </c>
      <c r="H4996" s="25" t="str">
        <f t="shared" si="165"/>
        <v>平成14年3月31日</v>
      </c>
      <c r="I4996" s="22">
        <f t="shared" si="163"/>
        <v>37346</v>
      </c>
      <c r="J4996" s="1" t="str">
        <f>"00736342"</f>
        <v>00736342</v>
      </c>
      <c r="K4996" s="1" t="str">
        <f>"２１　　　　　　　　　　　　　　　　　　"</f>
        <v>２１　　　　　　　　　　　　　　　　　　</v>
      </c>
      <c r="L4996" s="1"/>
    </row>
    <row r="4997" spans="1:12" ht="18" customHeight="1" x14ac:dyDescent="0.15">
      <c r="A4997" s="1">
        <v>116</v>
      </c>
      <c r="B4997" s="25" t="s">
        <v>62</v>
      </c>
      <c r="C4997" s="25" t="s">
        <v>112</v>
      </c>
      <c r="D4997" s="25">
        <v>1</v>
      </c>
      <c r="E4997" s="25" t="s">
        <v>4</v>
      </c>
      <c r="F4997" s="38">
        <v>59430</v>
      </c>
      <c r="G4997" s="38" t="s">
        <v>667</v>
      </c>
      <c r="H4997" s="25" t="str">
        <f t="shared" si="165"/>
        <v>平成14年3月31日</v>
      </c>
      <c r="I4997" s="22">
        <f t="shared" si="163"/>
        <v>37346</v>
      </c>
      <c r="J4997" s="1" t="str">
        <f>"00736345"</f>
        <v>00736345</v>
      </c>
      <c r="K4997" s="1" t="str">
        <f>"２２　　　　　　　　　　　　　　　　　　"</f>
        <v>２２　　　　　　　　　　　　　　　　　　</v>
      </c>
      <c r="L4997" s="1"/>
    </row>
    <row r="4998" spans="1:12" ht="18" customHeight="1" x14ac:dyDescent="0.15">
      <c r="A4998" s="1">
        <v>117</v>
      </c>
      <c r="B4998" s="25" t="s">
        <v>62</v>
      </c>
      <c r="C4998" s="25" t="s">
        <v>112</v>
      </c>
      <c r="D4998" s="25">
        <v>1</v>
      </c>
      <c r="E4998" s="25" t="s">
        <v>4</v>
      </c>
      <c r="F4998" s="38">
        <v>59430</v>
      </c>
      <c r="G4998" s="38" t="s">
        <v>667</v>
      </c>
      <c r="H4998" s="25" t="str">
        <f t="shared" si="165"/>
        <v>平成14年3月31日</v>
      </c>
      <c r="I4998" s="22">
        <f t="shared" si="163"/>
        <v>37346</v>
      </c>
      <c r="J4998" s="1" t="str">
        <f>"00736347"</f>
        <v>00736347</v>
      </c>
      <c r="K4998" s="1" t="str">
        <f>"２３　　　　　　　　　　　　　　　　　　"</f>
        <v>２３　　　　　　　　　　　　　　　　　　</v>
      </c>
      <c r="L4998" s="1"/>
    </row>
    <row r="4999" spans="1:12" ht="18" customHeight="1" x14ac:dyDescent="0.15">
      <c r="A4999" s="1">
        <v>118</v>
      </c>
      <c r="B4999" s="25" t="s">
        <v>62</v>
      </c>
      <c r="C4999" s="25" t="s">
        <v>112</v>
      </c>
      <c r="D4999" s="25">
        <v>1</v>
      </c>
      <c r="E4999" s="25" t="s">
        <v>4</v>
      </c>
      <c r="F4999" s="38">
        <v>59430</v>
      </c>
      <c r="G4999" s="38" t="s">
        <v>667</v>
      </c>
      <c r="H4999" s="25" t="str">
        <f t="shared" si="165"/>
        <v>平成14年3月31日</v>
      </c>
      <c r="I4999" s="22">
        <f t="shared" si="163"/>
        <v>37346</v>
      </c>
      <c r="J4999" s="1" t="str">
        <f>"00736350"</f>
        <v>00736350</v>
      </c>
      <c r="K4999" s="1" t="str">
        <f>"２４　　　　　　　　　　　　　　　　　　"</f>
        <v>２４　　　　　　　　　　　　　　　　　　</v>
      </c>
      <c r="L4999" s="1"/>
    </row>
    <row r="5000" spans="1:12" ht="18" customHeight="1" x14ac:dyDescent="0.15">
      <c r="A5000" s="1">
        <v>119</v>
      </c>
      <c r="B5000" s="25" t="s">
        <v>62</v>
      </c>
      <c r="C5000" s="25" t="s">
        <v>112</v>
      </c>
      <c r="D5000" s="25">
        <v>1</v>
      </c>
      <c r="E5000" s="25" t="s">
        <v>4</v>
      </c>
      <c r="F5000" s="38">
        <v>59430</v>
      </c>
      <c r="G5000" s="38" t="s">
        <v>667</v>
      </c>
      <c r="H5000" s="25" t="str">
        <f t="shared" si="165"/>
        <v>平成14年3月31日</v>
      </c>
      <c r="I5000" s="22">
        <f t="shared" si="163"/>
        <v>37346</v>
      </c>
      <c r="J5000" s="1" t="str">
        <f>"00736353"</f>
        <v>00736353</v>
      </c>
      <c r="K5000" s="1" t="str">
        <f>"２５　　　　　　　　　　　　　　　　　　"</f>
        <v>２５　　　　　　　　　　　　　　　　　　</v>
      </c>
      <c r="L5000" s="1"/>
    </row>
    <row r="5001" spans="1:12" ht="18" customHeight="1" x14ac:dyDescent="0.15">
      <c r="A5001" s="1">
        <v>120</v>
      </c>
      <c r="B5001" s="25" t="s">
        <v>62</v>
      </c>
      <c r="C5001" s="25" t="s">
        <v>112</v>
      </c>
      <c r="D5001" s="25">
        <v>1</v>
      </c>
      <c r="E5001" s="25" t="s">
        <v>4</v>
      </c>
      <c r="F5001" s="38">
        <v>59430</v>
      </c>
      <c r="G5001" s="38" t="s">
        <v>667</v>
      </c>
      <c r="H5001" s="25" t="str">
        <f t="shared" si="165"/>
        <v>平成14年3月31日</v>
      </c>
      <c r="I5001" s="22">
        <f t="shared" si="163"/>
        <v>37346</v>
      </c>
      <c r="J5001" s="1" t="str">
        <f>"00736356"</f>
        <v>00736356</v>
      </c>
      <c r="K5001" s="1" t="str">
        <f>"２６　　　　　　　　　　　　　　　　　　"</f>
        <v>２６　　　　　　　　　　　　　　　　　　</v>
      </c>
      <c r="L5001" s="1"/>
    </row>
    <row r="5002" spans="1:12" ht="18" customHeight="1" x14ac:dyDescent="0.15">
      <c r="A5002" s="1">
        <v>121</v>
      </c>
      <c r="B5002" s="25" t="s">
        <v>62</v>
      </c>
      <c r="C5002" s="25" t="s">
        <v>112</v>
      </c>
      <c r="D5002" s="25">
        <v>1</v>
      </c>
      <c r="E5002" s="25" t="s">
        <v>4</v>
      </c>
      <c r="F5002" s="38">
        <v>59430</v>
      </c>
      <c r="G5002" s="38" t="s">
        <v>667</v>
      </c>
      <c r="H5002" s="25" t="str">
        <f t="shared" si="165"/>
        <v>平成14年3月31日</v>
      </c>
      <c r="I5002" s="22">
        <f t="shared" si="163"/>
        <v>37346</v>
      </c>
      <c r="J5002" s="1" t="str">
        <f>"00736359"</f>
        <v>00736359</v>
      </c>
      <c r="K5002" s="1" t="str">
        <f>"２７　　　　　　　　　　　　　　　　　　"</f>
        <v>２７　　　　　　　　　　　　　　　　　　</v>
      </c>
      <c r="L5002" s="1"/>
    </row>
    <row r="5003" spans="1:12" ht="18" customHeight="1" x14ac:dyDescent="0.15">
      <c r="A5003" s="1">
        <v>122</v>
      </c>
      <c r="B5003" s="25" t="s">
        <v>62</v>
      </c>
      <c r="C5003" s="25" t="s">
        <v>112</v>
      </c>
      <c r="D5003" s="25">
        <v>1</v>
      </c>
      <c r="E5003" s="25" t="s">
        <v>4</v>
      </c>
      <c r="F5003" s="38">
        <v>59430</v>
      </c>
      <c r="G5003" s="38" t="s">
        <v>667</v>
      </c>
      <c r="H5003" s="25" t="str">
        <f t="shared" si="165"/>
        <v>平成14年3月31日</v>
      </c>
      <c r="I5003" s="22">
        <f t="shared" si="163"/>
        <v>37346</v>
      </c>
      <c r="J5003" s="1" t="str">
        <f>"00736362"</f>
        <v>00736362</v>
      </c>
      <c r="K5003" s="1" t="str">
        <f>"２８　　　　　　　　　　　　　　　　　　"</f>
        <v>２８　　　　　　　　　　　　　　　　　　</v>
      </c>
      <c r="L5003" s="1"/>
    </row>
    <row r="5004" spans="1:12" ht="18" customHeight="1" x14ac:dyDescent="0.15">
      <c r="A5004" s="1">
        <v>123</v>
      </c>
      <c r="B5004" s="25" t="s">
        <v>62</v>
      </c>
      <c r="C5004" s="25" t="s">
        <v>112</v>
      </c>
      <c r="D5004" s="25">
        <v>1</v>
      </c>
      <c r="E5004" s="25" t="s">
        <v>4</v>
      </c>
      <c r="F5004" s="38">
        <v>59430</v>
      </c>
      <c r="G5004" s="38" t="s">
        <v>667</v>
      </c>
      <c r="H5004" s="25" t="str">
        <f t="shared" si="165"/>
        <v>平成14年3月31日</v>
      </c>
      <c r="I5004" s="22">
        <f t="shared" si="163"/>
        <v>37346</v>
      </c>
      <c r="J5004" s="1" t="str">
        <f>"00736365"</f>
        <v>00736365</v>
      </c>
      <c r="K5004" s="1" t="str">
        <f>"２９　　　　　　　　　　　　　　　　　　"</f>
        <v>２９　　　　　　　　　　　　　　　　　　</v>
      </c>
      <c r="L5004" s="1"/>
    </row>
    <row r="5005" spans="1:12" ht="18" customHeight="1" x14ac:dyDescent="0.15">
      <c r="A5005" s="1">
        <v>124</v>
      </c>
      <c r="B5005" s="25" t="s">
        <v>62</v>
      </c>
      <c r="C5005" s="25" t="s">
        <v>112</v>
      </c>
      <c r="D5005" s="25">
        <v>1</v>
      </c>
      <c r="E5005" s="25" t="s">
        <v>4</v>
      </c>
      <c r="F5005" s="38">
        <v>59430</v>
      </c>
      <c r="G5005" s="38" t="s">
        <v>667</v>
      </c>
      <c r="H5005" s="25" t="str">
        <f t="shared" si="165"/>
        <v>平成14年3月31日</v>
      </c>
      <c r="I5005" s="22">
        <f t="shared" si="163"/>
        <v>37346</v>
      </c>
      <c r="J5005" s="1" t="str">
        <f>"00736368"</f>
        <v>00736368</v>
      </c>
      <c r="K5005" s="1" t="str">
        <f>"３０　　　　　　　　　　　　　　　　　　"</f>
        <v>３０　　　　　　　　　　　　　　　　　　</v>
      </c>
      <c r="L5005" s="1"/>
    </row>
    <row r="5006" spans="1:12" ht="18" customHeight="1" x14ac:dyDescent="0.15">
      <c r="A5006" s="1">
        <v>125</v>
      </c>
      <c r="B5006" s="25" t="s">
        <v>62</v>
      </c>
      <c r="C5006" s="25" t="s">
        <v>112</v>
      </c>
      <c r="D5006" s="25">
        <v>1</v>
      </c>
      <c r="E5006" s="25" t="s">
        <v>4</v>
      </c>
      <c r="F5006" s="38">
        <v>59430</v>
      </c>
      <c r="G5006" s="38" t="s">
        <v>667</v>
      </c>
      <c r="H5006" s="25" t="str">
        <f t="shared" si="165"/>
        <v>平成14年3月31日</v>
      </c>
      <c r="I5006" s="22">
        <f t="shared" si="163"/>
        <v>37346</v>
      </c>
      <c r="J5006" s="1" t="str">
        <f>"00736372"</f>
        <v>00736372</v>
      </c>
      <c r="K5006" s="1" t="str">
        <f>"３１　　　　　　　　　　　　　　　　　　"</f>
        <v>３１　　　　　　　　　　　　　　　　　　</v>
      </c>
      <c r="L5006" s="1"/>
    </row>
    <row r="5007" spans="1:12" ht="18" customHeight="1" x14ac:dyDescent="0.15">
      <c r="A5007" s="1">
        <v>126</v>
      </c>
      <c r="B5007" s="25" t="s">
        <v>62</v>
      </c>
      <c r="C5007" s="25" t="s">
        <v>112</v>
      </c>
      <c r="D5007" s="25">
        <v>1</v>
      </c>
      <c r="E5007" s="25" t="s">
        <v>4</v>
      </c>
      <c r="F5007" s="38">
        <v>59430</v>
      </c>
      <c r="G5007" s="38" t="s">
        <v>667</v>
      </c>
      <c r="H5007" s="25" t="str">
        <f t="shared" si="165"/>
        <v>平成14年3月31日</v>
      </c>
      <c r="I5007" s="22">
        <f t="shared" si="163"/>
        <v>37346</v>
      </c>
      <c r="J5007" s="1" t="str">
        <f>"00736375"</f>
        <v>00736375</v>
      </c>
      <c r="K5007" s="1" t="str">
        <f>"３２　　　　　　　　　　　　　　　　　　"</f>
        <v>３２　　　　　　　　　　　　　　　　　　</v>
      </c>
      <c r="L5007" s="1"/>
    </row>
    <row r="5008" spans="1:12" ht="18" customHeight="1" x14ac:dyDescent="0.15">
      <c r="A5008" s="1">
        <v>127</v>
      </c>
      <c r="B5008" s="25" t="s">
        <v>62</v>
      </c>
      <c r="C5008" s="25" t="s">
        <v>112</v>
      </c>
      <c r="D5008" s="25">
        <v>1</v>
      </c>
      <c r="E5008" s="25" t="s">
        <v>4</v>
      </c>
      <c r="F5008" s="38">
        <v>59430</v>
      </c>
      <c r="G5008" s="38" t="s">
        <v>667</v>
      </c>
      <c r="H5008" s="25" t="str">
        <f t="shared" si="165"/>
        <v>平成14年3月31日</v>
      </c>
      <c r="I5008" s="22">
        <f t="shared" si="163"/>
        <v>37346</v>
      </c>
      <c r="J5008" s="1" t="str">
        <f>"00736378"</f>
        <v>00736378</v>
      </c>
      <c r="K5008" s="1" t="str">
        <f>"３３　　　　　　　　　　　　　　　　　　"</f>
        <v>３３　　　　　　　　　　　　　　　　　　</v>
      </c>
      <c r="L5008" s="1"/>
    </row>
    <row r="5009" spans="1:12" ht="18" customHeight="1" x14ac:dyDescent="0.15">
      <c r="A5009" s="1">
        <v>128</v>
      </c>
      <c r="B5009" s="25" t="s">
        <v>62</v>
      </c>
      <c r="C5009" s="25" t="s">
        <v>112</v>
      </c>
      <c r="D5009" s="25">
        <v>1</v>
      </c>
      <c r="E5009" s="25" t="s">
        <v>4</v>
      </c>
      <c r="F5009" s="38">
        <v>59430</v>
      </c>
      <c r="G5009" s="38" t="s">
        <v>667</v>
      </c>
      <c r="H5009" s="25" t="str">
        <f t="shared" si="165"/>
        <v>平成14年3月31日</v>
      </c>
      <c r="I5009" s="22">
        <f t="shared" si="163"/>
        <v>37346</v>
      </c>
      <c r="J5009" s="1" t="str">
        <f>"00736381"</f>
        <v>00736381</v>
      </c>
      <c r="K5009" s="1" t="str">
        <f>"３４　　　　　　　　　　　　　　　　　　"</f>
        <v>３４　　　　　　　　　　　　　　　　　　</v>
      </c>
      <c r="L5009" s="1"/>
    </row>
    <row r="5010" spans="1:12" ht="18" customHeight="1" x14ac:dyDescent="0.15">
      <c r="A5010" s="1">
        <v>129</v>
      </c>
      <c r="B5010" s="25" t="s">
        <v>62</v>
      </c>
      <c r="C5010" s="25" t="s">
        <v>112</v>
      </c>
      <c r="D5010" s="25">
        <v>1</v>
      </c>
      <c r="E5010" s="25" t="s">
        <v>4</v>
      </c>
      <c r="F5010" s="38">
        <v>59430</v>
      </c>
      <c r="G5010" s="38" t="s">
        <v>667</v>
      </c>
      <c r="H5010" s="25" t="str">
        <f t="shared" si="165"/>
        <v>平成14年3月31日</v>
      </c>
      <c r="I5010" s="22">
        <f t="shared" si="163"/>
        <v>37346</v>
      </c>
      <c r="J5010" s="1" t="str">
        <f>"00736384"</f>
        <v>00736384</v>
      </c>
      <c r="K5010" s="1" t="str">
        <f>"３５　　　　　　　　　　　　　　　　　　"</f>
        <v>３５　　　　　　　　　　　　　　　　　　</v>
      </c>
      <c r="L5010" s="1"/>
    </row>
    <row r="5011" spans="1:12" ht="18" customHeight="1" x14ac:dyDescent="0.15">
      <c r="A5011" s="1">
        <v>130</v>
      </c>
      <c r="B5011" s="25" t="s">
        <v>62</v>
      </c>
      <c r="C5011" s="25" t="s">
        <v>112</v>
      </c>
      <c r="D5011" s="25">
        <v>1</v>
      </c>
      <c r="E5011" s="25" t="s">
        <v>4</v>
      </c>
      <c r="F5011" s="38">
        <v>59430</v>
      </c>
      <c r="G5011" s="38" t="s">
        <v>667</v>
      </c>
      <c r="H5011" s="25" t="str">
        <f t="shared" si="165"/>
        <v>平成14年3月31日</v>
      </c>
      <c r="I5011" s="22">
        <f t="shared" si="163"/>
        <v>37346</v>
      </c>
      <c r="J5011" s="1" t="str">
        <f>"00736387"</f>
        <v>00736387</v>
      </c>
      <c r="K5011" s="1" t="str">
        <f>"３６　　　　　　　　　　　　　　　　　　"</f>
        <v>３６　　　　　　　　　　　　　　　　　　</v>
      </c>
      <c r="L5011" s="1"/>
    </row>
    <row r="5012" spans="1:12" ht="18" customHeight="1" x14ac:dyDescent="0.15">
      <c r="A5012" s="1">
        <v>131</v>
      </c>
      <c r="B5012" s="25" t="s">
        <v>62</v>
      </c>
      <c r="C5012" s="25" t="s">
        <v>112</v>
      </c>
      <c r="D5012" s="25">
        <v>1</v>
      </c>
      <c r="E5012" s="25" t="s">
        <v>4</v>
      </c>
      <c r="F5012" s="38">
        <v>59430</v>
      </c>
      <c r="G5012" s="38" t="s">
        <v>667</v>
      </c>
      <c r="H5012" s="25" t="str">
        <f t="shared" si="165"/>
        <v>平成14年3月31日</v>
      </c>
      <c r="I5012" s="22">
        <f t="shared" si="163"/>
        <v>37346</v>
      </c>
      <c r="J5012" s="1" t="str">
        <f>"00736390"</f>
        <v>00736390</v>
      </c>
      <c r="K5012" s="1" t="str">
        <f>"３７　　　　　　　　　　　　　　　　　　"</f>
        <v>３７　　　　　　　　　　　　　　　　　　</v>
      </c>
      <c r="L5012" s="1"/>
    </row>
    <row r="5013" spans="1:12" ht="18" customHeight="1" x14ac:dyDescent="0.15">
      <c r="A5013" s="1">
        <v>132</v>
      </c>
      <c r="B5013" s="25" t="s">
        <v>62</v>
      </c>
      <c r="C5013" s="25" t="s">
        <v>112</v>
      </c>
      <c r="D5013" s="25">
        <v>1</v>
      </c>
      <c r="E5013" s="25" t="s">
        <v>4</v>
      </c>
      <c r="F5013" s="38">
        <v>59430</v>
      </c>
      <c r="G5013" s="38" t="s">
        <v>667</v>
      </c>
      <c r="H5013" s="25" t="str">
        <f t="shared" si="165"/>
        <v>平成14年3月31日</v>
      </c>
      <c r="I5013" s="22">
        <f t="shared" si="163"/>
        <v>37346</v>
      </c>
      <c r="J5013" s="1" t="str">
        <f>"00736393"</f>
        <v>00736393</v>
      </c>
      <c r="K5013" s="1" t="str">
        <f>"３８　　　　　　　　　　　　　　　　　　"</f>
        <v>３８　　　　　　　　　　　　　　　　　　</v>
      </c>
      <c r="L5013" s="1"/>
    </row>
    <row r="5014" spans="1:12" ht="18" customHeight="1" x14ac:dyDescent="0.15">
      <c r="A5014" s="1">
        <v>133</v>
      </c>
      <c r="B5014" s="25" t="s">
        <v>62</v>
      </c>
      <c r="C5014" s="25" t="s">
        <v>112</v>
      </c>
      <c r="D5014" s="25">
        <v>1</v>
      </c>
      <c r="E5014" s="25" t="s">
        <v>4</v>
      </c>
      <c r="F5014" s="38">
        <v>59430</v>
      </c>
      <c r="G5014" s="38" t="s">
        <v>667</v>
      </c>
      <c r="H5014" s="25" t="str">
        <f t="shared" si="165"/>
        <v>平成14年3月31日</v>
      </c>
      <c r="I5014" s="22">
        <f t="shared" si="163"/>
        <v>37346</v>
      </c>
      <c r="J5014" s="1" t="str">
        <f>"00736396"</f>
        <v>00736396</v>
      </c>
      <c r="K5014" s="1" t="str">
        <f>"３９　　　　　　　　　　　　　　　　　　"</f>
        <v>３９　　　　　　　　　　　　　　　　　　</v>
      </c>
      <c r="L5014" s="1"/>
    </row>
    <row r="5015" spans="1:12" ht="18" customHeight="1" x14ac:dyDescent="0.15">
      <c r="A5015" s="1">
        <v>134</v>
      </c>
      <c r="B5015" s="25" t="s">
        <v>62</v>
      </c>
      <c r="C5015" s="25" t="s">
        <v>112</v>
      </c>
      <c r="D5015" s="25">
        <v>1</v>
      </c>
      <c r="E5015" s="25" t="s">
        <v>4</v>
      </c>
      <c r="F5015" s="38">
        <v>59430</v>
      </c>
      <c r="G5015" s="38" t="s">
        <v>667</v>
      </c>
      <c r="H5015" s="25" t="str">
        <f t="shared" si="165"/>
        <v>平成14年3月31日</v>
      </c>
      <c r="I5015" s="22">
        <f t="shared" si="163"/>
        <v>37346</v>
      </c>
      <c r="J5015" s="1" t="str">
        <f>"00736399"</f>
        <v>00736399</v>
      </c>
      <c r="K5015" s="1" t="str">
        <f>"４０　　　　　　　　　　　　　　　　　　"</f>
        <v>４０　　　　　　　　　　　　　　　　　　</v>
      </c>
      <c r="L5015" s="1"/>
    </row>
    <row r="5016" spans="1:12" ht="18" customHeight="1" x14ac:dyDescent="0.15">
      <c r="A5016" s="1">
        <v>135</v>
      </c>
      <c r="B5016" s="25" t="s">
        <v>62</v>
      </c>
      <c r="C5016" s="25" t="s">
        <v>112</v>
      </c>
      <c r="D5016" s="25">
        <v>1</v>
      </c>
      <c r="E5016" s="25" t="s">
        <v>4</v>
      </c>
      <c r="F5016" s="38">
        <v>59430</v>
      </c>
      <c r="G5016" s="38" t="s">
        <v>667</v>
      </c>
      <c r="H5016" s="25" t="str">
        <f t="shared" si="165"/>
        <v>平成14年3月31日</v>
      </c>
      <c r="I5016" s="22">
        <f t="shared" si="163"/>
        <v>37346</v>
      </c>
      <c r="J5016" s="1" t="str">
        <f>"00736402"</f>
        <v>00736402</v>
      </c>
      <c r="K5016" s="1" t="str">
        <f>"４１　　　　　　　　　　　　　　　　　　"</f>
        <v>４１　　　　　　　　　　　　　　　　　　</v>
      </c>
      <c r="L5016" s="1"/>
    </row>
    <row r="5017" spans="1:12" ht="18" customHeight="1" x14ac:dyDescent="0.15">
      <c r="A5017" s="1">
        <v>3772</v>
      </c>
      <c r="B5017" s="11" t="s">
        <v>206</v>
      </c>
      <c r="C5017" s="11" t="s">
        <v>220</v>
      </c>
      <c r="D5017" s="11">
        <v>1</v>
      </c>
      <c r="E5017" s="11" t="s">
        <v>4</v>
      </c>
      <c r="F5017" s="12">
        <v>120393</v>
      </c>
      <c r="G5017" s="12">
        <v>120393</v>
      </c>
      <c r="H5017" s="11" t="str">
        <f t="shared" si="165"/>
        <v>平成14年3月31日</v>
      </c>
      <c r="I5017" s="22">
        <f t="shared" si="163"/>
        <v>37346</v>
      </c>
      <c r="J5017" s="1" t="str">
        <f>"00743977"</f>
        <v>00743977</v>
      </c>
      <c r="K5017" s="1" t="str">
        <f>"３６６　　　　　　　　　　　　　　　　　"</f>
        <v>３６６　　　　　　　　　　　　　　　　　</v>
      </c>
      <c r="L5017" s="1"/>
    </row>
    <row r="5018" spans="1:12" s="40" customFormat="1" ht="18" customHeight="1" x14ac:dyDescent="0.15">
      <c r="A5018" s="25">
        <v>3938</v>
      </c>
      <c r="B5018" s="25" t="s">
        <v>67</v>
      </c>
      <c r="C5018" s="25" t="s">
        <v>242</v>
      </c>
      <c r="D5018" s="25">
        <v>1</v>
      </c>
      <c r="E5018" s="25" t="s">
        <v>4</v>
      </c>
      <c r="F5018" s="38">
        <v>246750</v>
      </c>
      <c r="G5018" s="38" t="s">
        <v>667</v>
      </c>
      <c r="H5018" s="25" t="str">
        <f t="shared" si="165"/>
        <v>平成14年3月31日</v>
      </c>
      <c r="I5018" s="39">
        <f t="shared" si="163"/>
        <v>37346</v>
      </c>
      <c r="J5018" s="25" t="str">
        <f>"00744346"</f>
        <v>00744346</v>
      </c>
      <c r="K5018" s="25" t="str">
        <f>"４８５　　　　　　　　　　　　　　　　　"</f>
        <v>４８５　　　　　　　　　　　　　　　　　</v>
      </c>
      <c r="L5018" s="25"/>
    </row>
    <row r="5019" spans="1:12" ht="18" customHeight="1" x14ac:dyDescent="0.15">
      <c r="A5019" s="1">
        <v>4734</v>
      </c>
      <c r="B5019" s="25" t="s">
        <v>436</v>
      </c>
      <c r="C5019" s="25" t="s">
        <v>440</v>
      </c>
      <c r="D5019" s="25">
        <v>1</v>
      </c>
      <c r="E5019" s="25" t="s">
        <v>4</v>
      </c>
      <c r="F5019" s="38">
        <v>54600</v>
      </c>
      <c r="G5019" s="38" t="s">
        <v>667</v>
      </c>
      <c r="H5019" s="25" t="str">
        <f t="shared" si="165"/>
        <v>平成14年3月31日</v>
      </c>
      <c r="I5019" s="22">
        <f t="shared" si="163"/>
        <v>37346</v>
      </c>
      <c r="J5019" s="1" t="str">
        <f>"00746441"</f>
        <v>00746441</v>
      </c>
      <c r="K5019" s="1" t="str">
        <f>"３３２　　　　　　　　　　　　　　　　　"</f>
        <v>３３２　　　　　　　　　　　　　　　　　</v>
      </c>
      <c r="L5019" s="1"/>
    </row>
    <row r="5020" spans="1:12" ht="18" customHeight="1" x14ac:dyDescent="0.15">
      <c r="A5020" s="1">
        <v>4735</v>
      </c>
      <c r="B5020" s="25" t="s">
        <v>436</v>
      </c>
      <c r="C5020" s="25" t="s">
        <v>440</v>
      </c>
      <c r="D5020" s="25">
        <v>1</v>
      </c>
      <c r="E5020" s="25" t="s">
        <v>4</v>
      </c>
      <c r="F5020" s="38">
        <v>54600</v>
      </c>
      <c r="G5020" s="38" t="s">
        <v>667</v>
      </c>
      <c r="H5020" s="25" t="str">
        <f t="shared" si="165"/>
        <v>平成14年3月31日</v>
      </c>
      <c r="I5020" s="22">
        <f t="shared" si="163"/>
        <v>37346</v>
      </c>
      <c r="J5020" s="1" t="str">
        <f>"00746442"</f>
        <v>00746442</v>
      </c>
      <c r="K5020" s="1" t="str">
        <f>"３３３　　　　　　　　　　　　　　　　　"</f>
        <v>３３３　　　　　　　　　　　　　　　　　</v>
      </c>
      <c r="L5020" s="1"/>
    </row>
    <row r="5021" spans="1:12" ht="18" customHeight="1" x14ac:dyDescent="0.15">
      <c r="A5021" s="1">
        <v>4736</v>
      </c>
      <c r="B5021" s="25" t="s">
        <v>436</v>
      </c>
      <c r="C5021" s="25" t="s">
        <v>440</v>
      </c>
      <c r="D5021" s="25">
        <v>1</v>
      </c>
      <c r="E5021" s="25" t="s">
        <v>4</v>
      </c>
      <c r="F5021" s="38">
        <v>54600</v>
      </c>
      <c r="G5021" s="38" t="s">
        <v>667</v>
      </c>
      <c r="H5021" s="25" t="str">
        <f t="shared" si="165"/>
        <v>平成14年3月31日</v>
      </c>
      <c r="I5021" s="22">
        <f t="shared" si="163"/>
        <v>37346</v>
      </c>
      <c r="J5021" s="1" t="str">
        <f>"00746445"</f>
        <v>00746445</v>
      </c>
      <c r="K5021" s="1" t="str">
        <f>"３３４　　　　　　　　　　　　　　　　　"</f>
        <v>３３４　　　　　　　　　　　　　　　　　</v>
      </c>
      <c r="L5021" s="1"/>
    </row>
    <row r="5022" spans="1:12" ht="18" customHeight="1" x14ac:dyDescent="0.15">
      <c r="A5022" s="1">
        <v>4737</v>
      </c>
      <c r="B5022" s="25" t="s">
        <v>436</v>
      </c>
      <c r="C5022" s="25" t="s">
        <v>440</v>
      </c>
      <c r="D5022" s="25">
        <v>1</v>
      </c>
      <c r="E5022" s="25" t="s">
        <v>4</v>
      </c>
      <c r="F5022" s="38">
        <v>54600</v>
      </c>
      <c r="G5022" s="38" t="s">
        <v>667</v>
      </c>
      <c r="H5022" s="25" t="str">
        <f t="shared" si="165"/>
        <v>平成14年3月31日</v>
      </c>
      <c r="I5022" s="22">
        <f t="shared" si="163"/>
        <v>37346</v>
      </c>
      <c r="J5022" s="1" t="str">
        <f>"00746446"</f>
        <v>00746446</v>
      </c>
      <c r="K5022" s="1" t="str">
        <f>"３３５　　　　　　　　　　　　　　　　　"</f>
        <v>３３５　　　　　　　　　　　　　　　　　</v>
      </c>
      <c r="L5022" s="1"/>
    </row>
    <row r="5023" spans="1:12" ht="18" customHeight="1" x14ac:dyDescent="0.15">
      <c r="A5023" s="1">
        <v>4738</v>
      </c>
      <c r="B5023" s="25" t="s">
        <v>436</v>
      </c>
      <c r="C5023" s="25" t="s">
        <v>440</v>
      </c>
      <c r="D5023" s="25">
        <v>1</v>
      </c>
      <c r="E5023" s="25" t="s">
        <v>4</v>
      </c>
      <c r="F5023" s="38">
        <v>54600</v>
      </c>
      <c r="G5023" s="38" t="s">
        <v>667</v>
      </c>
      <c r="H5023" s="25" t="str">
        <f t="shared" si="165"/>
        <v>平成14年3月31日</v>
      </c>
      <c r="I5023" s="22">
        <f t="shared" ref="I5023:I5078" si="166">DATEVALUE(H5023)</f>
        <v>37346</v>
      </c>
      <c r="J5023" s="1" t="str">
        <f>"00746448"</f>
        <v>00746448</v>
      </c>
      <c r="K5023" s="1" t="str">
        <f>"３３６　　　　　　　　　　　　　　　　　"</f>
        <v>３３６　　　　　　　　　　　　　　　　　</v>
      </c>
      <c r="L5023" s="1"/>
    </row>
    <row r="5024" spans="1:12" s="40" customFormat="1" ht="18" customHeight="1" x14ac:dyDescent="0.15">
      <c r="A5024" s="25">
        <v>4761</v>
      </c>
      <c r="B5024" s="25" t="s">
        <v>46</v>
      </c>
      <c r="C5024" s="25" t="s">
        <v>447</v>
      </c>
      <c r="D5024" s="25">
        <v>1</v>
      </c>
      <c r="E5024" s="25" t="s">
        <v>4</v>
      </c>
      <c r="F5024" s="38">
        <v>207900</v>
      </c>
      <c r="G5024" s="38" t="s">
        <v>666</v>
      </c>
      <c r="H5024" s="25" t="str">
        <f t="shared" si="165"/>
        <v>平成14年3月31日</v>
      </c>
      <c r="I5024" s="39">
        <f t="shared" si="166"/>
        <v>37346</v>
      </c>
      <c r="J5024" s="25" t="str">
        <f>"00746501"</f>
        <v>00746501</v>
      </c>
      <c r="K5024" s="25" t="str">
        <f>"４６３　　　　　　　　　　　　　　　　　"</f>
        <v>４６３　　　　　　　　　　　　　　　　　</v>
      </c>
      <c r="L5024" s="25"/>
    </row>
    <row r="5025" spans="1:12" s="40" customFormat="1" ht="18" customHeight="1" x14ac:dyDescent="0.15">
      <c r="A5025" s="25">
        <v>4762</v>
      </c>
      <c r="B5025" s="25" t="s">
        <v>46</v>
      </c>
      <c r="C5025" s="25" t="s">
        <v>448</v>
      </c>
      <c r="D5025" s="25">
        <v>1</v>
      </c>
      <c r="E5025" s="25" t="s">
        <v>4</v>
      </c>
      <c r="F5025" s="38">
        <v>71400</v>
      </c>
      <c r="G5025" s="38" t="s">
        <v>666</v>
      </c>
      <c r="H5025" s="25" t="str">
        <f t="shared" si="165"/>
        <v>平成14年3月31日</v>
      </c>
      <c r="I5025" s="39">
        <f t="shared" si="166"/>
        <v>37346</v>
      </c>
      <c r="J5025" s="25" t="str">
        <f>"00746503"</f>
        <v>00746503</v>
      </c>
      <c r="K5025" s="25" t="str">
        <f>"４６４　　　　　　　　　　　　　　　　　"</f>
        <v>４６４　　　　　　　　　　　　　　　　　</v>
      </c>
      <c r="L5025" s="25"/>
    </row>
    <row r="5026" spans="1:12" s="40" customFormat="1" ht="18" customHeight="1" x14ac:dyDescent="0.15">
      <c r="A5026" s="25">
        <v>4893</v>
      </c>
      <c r="B5026" s="25" t="s">
        <v>498</v>
      </c>
      <c r="C5026" s="25" t="s">
        <v>499</v>
      </c>
      <c r="D5026" s="25">
        <v>1</v>
      </c>
      <c r="E5026" s="25" t="s">
        <v>4</v>
      </c>
      <c r="F5026" s="38">
        <v>78750</v>
      </c>
      <c r="G5026" s="38" t="s">
        <v>667</v>
      </c>
      <c r="H5026" s="25" t="str">
        <f t="shared" si="165"/>
        <v>平成14年3月31日</v>
      </c>
      <c r="I5026" s="39">
        <f t="shared" si="166"/>
        <v>37346</v>
      </c>
      <c r="J5026" s="25" t="str">
        <f>"00746949"</f>
        <v>00746949</v>
      </c>
      <c r="K5026" s="25" t="str">
        <f>"４　　　　　　　　　　　　　　　　　　　"</f>
        <v>４　　　　　　　　　　　　　　　　　　　</v>
      </c>
      <c r="L5026" s="25"/>
    </row>
    <row r="5027" spans="1:12" s="40" customFormat="1" ht="18" customHeight="1" x14ac:dyDescent="0.15">
      <c r="A5027" s="25">
        <v>4894</v>
      </c>
      <c r="B5027" s="25" t="s">
        <v>498</v>
      </c>
      <c r="C5027" s="25" t="s">
        <v>499</v>
      </c>
      <c r="D5027" s="25">
        <v>1</v>
      </c>
      <c r="E5027" s="25" t="s">
        <v>4</v>
      </c>
      <c r="F5027" s="38">
        <v>78750</v>
      </c>
      <c r="G5027" s="38" t="s">
        <v>667</v>
      </c>
      <c r="H5027" s="25" t="str">
        <f t="shared" si="165"/>
        <v>平成14年3月31日</v>
      </c>
      <c r="I5027" s="39">
        <f t="shared" si="166"/>
        <v>37346</v>
      </c>
      <c r="J5027" s="25" t="str">
        <f>"00746951"</f>
        <v>00746951</v>
      </c>
      <c r="K5027" s="25" t="str">
        <f>"５　　　　　　　　　　　　　　　　　　　"</f>
        <v>５　　　　　　　　　　　　　　　　　　　</v>
      </c>
      <c r="L5027" s="25"/>
    </row>
    <row r="5028" spans="1:12" s="40" customFormat="1" ht="18" customHeight="1" x14ac:dyDescent="0.15">
      <c r="A5028" s="25">
        <v>4895</v>
      </c>
      <c r="B5028" s="25" t="s">
        <v>498</v>
      </c>
      <c r="C5028" s="25" t="s">
        <v>499</v>
      </c>
      <c r="D5028" s="25">
        <v>1</v>
      </c>
      <c r="E5028" s="25" t="s">
        <v>4</v>
      </c>
      <c r="F5028" s="38">
        <v>78750</v>
      </c>
      <c r="G5028" s="38" t="s">
        <v>667</v>
      </c>
      <c r="H5028" s="25" t="str">
        <f t="shared" si="165"/>
        <v>平成14年3月31日</v>
      </c>
      <c r="I5028" s="39">
        <f t="shared" si="166"/>
        <v>37346</v>
      </c>
      <c r="J5028" s="25" t="str">
        <f>"00746953"</f>
        <v>00746953</v>
      </c>
      <c r="K5028" s="25" t="str">
        <f>"６　　　　　　　　　　　　　　　　　　　"</f>
        <v>６　　　　　　　　　　　　　　　　　　　</v>
      </c>
      <c r="L5028" s="25"/>
    </row>
    <row r="5029" spans="1:12" s="40" customFormat="1" ht="18" customHeight="1" x14ac:dyDescent="0.15">
      <c r="A5029" s="25">
        <v>4896</v>
      </c>
      <c r="B5029" s="25" t="s">
        <v>498</v>
      </c>
      <c r="C5029" s="25" t="s">
        <v>499</v>
      </c>
      <c r="D5029" s="25">
        <v>1</v>
      </c>
      <c r="E5029" s="25" t="s">
        <v>4</v>
      </c>
      <c r="F5029" s="38">
        <v>78750</v>
      </c>
      <c r="G5029" s="38" t="s">
        <v>667</v>
      </c>
      <c r="H5029" s="25" t="str">
        <f t="shared" si="165"/>
        <v>平成14年3月31日</v>
      </c>
      <c r="I5029" s="39">
        <f t="shared" si="166"/>
        <v>37346</v>
      </c>
      <c r="J5029" s="25" t="str">
        <f>"00746955"</f>
        <v>00746955</v>
      </c>
      <c r="K5029" s="25" t="str">
        <f>"７　　　　　　　　　　　　　　　　　　　"</f>
        <v>７　　　　　　　　　　　　　　　　　　　</v>
      </c>
      <c r="L5029" s="25"/>
    </row>
    <row r="5030" spans="1:12" s="40" customFormat="1" ht="18" customHeight="1" x14ac:dyDescent="0.15">
      <c r="A5030" s="25">
        <v>4897</v>
      </c>
      <c r="B5030" s="25" t="s">
        <v>498</v>
      </c>
      <c r="C5030" s="25" t="s">
        <v>499</v>
      </c>
      <c r="D5030" s="25">
        <v>1</v>
      </c>
      <c r="E5030" s="25" t="s">
        <v>4</v>
      </c>
      <c r="F5030" s="38">
        <v>78750</v>
      </c>
      <c r="G5030" s="38" t="s">
        <v>667</v>
      </c>
      <c r="H5030" s="25" t="str">
        <f t="shared" si="165"/>
        <v>平成14年3月31日</v>
      </c>
      <c r="I5030" s="39">
        <f t="shared" si="166"/>
        <v>37346</v>
      </c>
      <c r="J5030" s="25" t="str">
        <f>"00746957"</f>
        <v>00746957</v>
      </c>
      <c r="K5030" s="25" t="str">
        <f>"８　　　　　　　　　　　　　　　　　　　"</f>
        <v>８　　　　　　　　　　　　　　　　　　　</v>
      </c>
      <c r="L5030" s="25"/>
    </row>
    <row r="5031" spans="1:12" s="40" customFormat="1" ht="18" customHeight="1" x14ac:dyDescent="0.15">
      <c r="A5031" s="25">
        <v>4898</v>
      </c>
      <c r="B5031" s="25" t="s">
        <v>498</v>
      </c>
      <c r="C5031" s="25" t="s">
        <v>499</v>
      </c>
      <c r="D5031" s="25">
        <v>1</v>
      </c>
      <c r="E5031" s="25" t="s">
        <v>4</v>
      </c>
      <c r="F5031" s="38">
        <v>78750</v>
      </c>
      <c r="G5031" s="38" t="s">
        <v>667</v>
      </c>
      <c r="H5031" s="25" t="str">
        <f t="shared" si="165"/>
        <v>平成14年3月31日</v>
      </c>
      <c r="I5031" s="39">
        <f t="shared" si="166"/>
        <v>37346</v>
      </c>
      <c r="J5031" s="25" t="str">
        <f>"00746959"</f>
        <v>00746959</v>
      </c>
      <c r="K5031" s="25" t="str">
        <f>"９　　　　　　　　　　　　　　　　　　　"</f>
        <v>９　　　　　　　　　　　　　　　　　　　</v>
      </c>
      <c r="L5031" s="25"/>
    </row>
    <row r="5032" spans="1:12" s="40" customFormat="1" ht="18" customHeight="1" x14ac:dyDescent="0.15">
      <c r="A5032" s="25">
        <v>5575</v>
      </c>
      <c r="B5032" s="25" t="s">
        <v>583</v>
      </c>
      <c r="C5032" s="25" t="s">
        <v>584</v>
      </c>
      <c r="D5032" s="25">
        <v>1</v>
      </c>
      <c r="E5032" s="25" t="s">
        <v>4</v>
      </c>
      <c r="F5032" s="38">
        <v>751800</v>
      </c>
      <c r="G5032" s="38" t="s">
        <v>667</v>
      </c>
      <c r="H5032" s="25" t="str">
        <f t="shared" si="165"/>
        <v>平成14年3月31日</v>
      </c>
      <c r="I5032" s="39">
        <f t="shared" si="166"/>
        <v>37346</v>
      </c>
      <c r="J5032" s="25" t="str">
        <f>"00748406"</f>
        <v>00748406</v>
      </c>
      <c r="K5032" s="25" t="str">
        <f>"１　　　　　　　　　　　　　　　　　　　"</f>
        <v>１　　　　　　　　　　　　　　　　　　　</v>
      </c>
      <c r="L5032" s="25"/>
    </row>
    <row r="5033" spans="1:12" s="40" customFormat="1" ht="18" customHeight="1" x14ac:dyDescent="0.15">
      <c r="A5033" s="25">
        <v>4648</v>
      </c>
      <c r="B5033" s="25" t="s">
        <v>60</v>
      </c>
      <c r="C5033" s="25" t="s">
        <v>402</v>
      </c>
      <c r="D5033" s="25">
        <v>1</v>
      </c>
      <c r="E5033" s="25" t="s">
        <v>4</v>
      </c>
      <c r="F5033" s="38">
        <v>42000</v>
      </c>
      <c r="G5033" s="38" t="s">
        <v>667</v>
      </c>
      <c r="H5033" s="25" t="str">
        <f>"平成14年4月1日"</f>
        <v>平成14年4月1日</v>
      </c>
      <c r="I5033" s="39">
        <f t="shared" si="166"/>
        <v>37347</v>
      </c>
      <c r="J5033" s="25" t="str">
        <f>"00746213"</f>
        <v>00746213</v>
      </c>
      <c r="K5033" s="25" t="str">
        <f>"３３４　　　　　　　　　　　　　　　　　"</f>
        <v>３３４　　　　　　　　　　　　　　　　　</v>
      </c>
      <c r="L5033" s="25"/>
    </row>
    <row r="5034" spans="1:12" s="40" customFormat="1" ht="18" customHeight="1" x14ac:dyDescent="0.15">
      <c r="A5034" s="25">
        <v>4649</v>
      </c>
      <c r="B5034" s="25" t="s">
        <v>60</v>
      </c>
      <c r="C5034" s="25" t="s">
        <v>402</v>
      </c>
      <c r="D5034" s="25">
        <v>1</v>
      </c>
      <c r="E5034" s="25" t="s">
        <v>4</v>
      </c>
      <c r="F5034" s="38">
        <v>42000</v>
      </c>
      <c r="G5034" s="38" t="s">
        <v>667</v>
      </c>
      <c r="H5034" s="25" t="str">
        <f>"平成14年4月1日"</f>
        <v>平成14年4月1日</v>
      </c>
      <c r="I5034" s="39">
        <f t="shared" si="166"/>
        <v>37347</v>
      </c>
      <c r="J5034" s="25" t="str">
        <f>"00746214"</f>
        <v>00746214</v>
      </c>
      <c r="K5034" s="25" t="str">
        <f>"３３５　　　　　　　　　　　　　　　　　"</f>
        <v>３３５　　　　　　　　　　　　　　　　　</v>
      </c>
      <c r="L5034" s="25"/>
    </row>
    <row r="5035" spans="1:12" s="40" customFormat="1" ht="18" customHeight="1" x14ac:dyDescent="0.15">
      <c r="A5035" s="25">
        <v>4763</v>
      </c>
      <c r="B5035" s="25" t="s">
        <v>46</v>
      </c>
      <c r="C5035" s="25" t="s">
        <v>449</v>
      </c>
      <c r="D5035" s="25">
        <v>1</v>
      </c>
      <c r="E5035" s="25" t="s">
        <v>4</v>
      </c>
      <c r="F5035" s="38">
        <v>600000</v>
      </c>
      <c r="G5035" s="38" t="s">
        <v>666</v>
      </c>
      <c r="H5035" s="25" t="str">
        <f>"平成14年10月10日"</f>
        <v>平成14年10月10日</v>
      </c>
      <c r="I5035" s="39">
        <f t="shared" si="166"/>
        <v>37539</v>
      </c>
      <c r="J5035" s="25" t="str">
        <f>"00746505"</f>
        <v>00746505</v>
      </c>
      <c r="K5035" s="25" t="str">
        <f>"４６５　　　　　　　　　　　　　　　　　"</f>
        <v>４６５　　　　　　　　　　　　　　　　　</v>
      </c>
      <c r="L5035" s="25"/>
    </row>
    <row r="5036" spans="1:12" s="40" customFormat="1" ht="18" customHeight="1" x14ac:dyDescent="0.15">
      <c r="A5036" s="25">
        <v>4764</v>
      </c>
      <c r="B5036" s="25" t="s">
        <v>46</v>
      </c>
      <c r="C5036" s="25" t="s">
        <v>449</v>
      </c>
      <c r="D5036" s="25">
        <v>1</v>
      </c>
      <c r="E5036" s="25" t="s">
        <v>4</v>
      </c>
      <c r="F5036" s="38">
        <v>600000</v>
      </c>
      <c r="G5036" s="38" t="s">
        <v>666</v>
      </c>
      <c r="H5036" s="25" t="str">
        <f>"平成14年10月10日"</f>
        <v>平成14年10月10日</v>
      </c>
      <c r="I5036" s="39">
        <f t="shared" si="166"/>
        <v>37539</v>
      </c>
      <c r="J5036" s="25" t="str">
        <f>"00746507"</f>
        <v>00746507</v>
      </c>
      <c r="K5036" s="25" t="str">
        <f>"４６６　　　　　　　　　　　　　　　　　"</f>
        <v>４６６　　　　　　　　　　　　　　　　　</v>
      </c>
      <c r="L5036" s="25"/>
    </row>
    <row r="5037" spans="1:12" ht="18" customHeight="1" x14ac:dyDescent="0.15">
      <c r="A5037" s="1">
        <v>4859</v>
      </c>
      <c r="B5037" s="11" t="s">
        <v>477</v>
      </c>
      <c r="C5037" s="11" t="s">
        <v>479</v>
      </c>
      <c r="D5037" s="11">
        <v>1</v>
      </c>
      <c r="E5037" s="11" t="s">
        <v>21</v>
      </c>
      <c r="F5037" s="12">
        <v>44100</v>
      </c>
      <c r="G5037" s="12">
        <v>44100</v>
      </c>
      <c r="H5037" s="11" t="str">
        <f>"平成15年2月16日"</f>
        <v>平成15年2月16日</v>
      </c>
      <c r="I5037" s="22">
        <f t="shared" si="166"/>
        <v>37668</v>
      </c>
      <c r="J5037" s="1" t="str">
        <f>"00746876"</f>
        <v>00746876</v>
      </c>
      <c r="K5037" s="1" t="str">
        <f>"３１３　　　　　　　　　　　　　　　　　"</f>
        <v>３１３　　　　　　　　　　　　　　　　　</v>
      </c>
      <c r="L5037" s="1"/>
    </row>
    <row r="5038" spans="1:12" ht="18" customHeight="1" x14ac:dyDescent="0.15">
      <c r="A5038" s="1">
        <v>4860</v>
      </c>
      <c r="B5038" s="11" t="s">
        <v>477</v>
      </c>
      <c r="C5038" s="11" t="s">
        <v>479</v>
      </c>
      <c r="D5038" s="11">
        <v>1</v>
      </c>
      <c r="E5038" s="11" t="s">
        <v>21</v>
      </c>
      <c r="F5038" s="12">
        <v>44100</v>
      </c>
      <c r="G5038" s="12">
        <v>44100</v>
      </c>
      <c r="H5038" s="11" t="str">
        <f>"平成15年2月16日"</f>
        <v>平成15年2月16日</v>
      </c>
      <c r="I5038" s="22">
        <f t="shared" si="166"/>
        <v>37668</v>
      </c>
      <c r="J5038" s="1" t="str">
        <f>"00746879"</f>
        <v>00746879</v>
      </c>
      <c r="K5038" s="1" t="str">
        <f>"３１４　　　　　　　　　　　　　　　　　"</f>
        <v>３１４　　　　　　　　　　　　　　　　　</v>
      </c>
      <c r="L5038" s="1"/>
    </row>
    <row r="5039" spans="1:12" ht="18" customHeight="1" x14ac:dyDescent="0.15">
      <c r="A5039" s="1">
        <v>4739</v>
      </c>
      <c r="B5039" s="25" t="s">
        <v>436</v>
      </c>
      <c r="C5039" s="25" t="s">
        <v>441</v>
      </c>
      <c r="D5039" s="25">
        <v>1</v>
      </c>
      <c r="E5039" s="25" t="s">
        <v>4</v>
      </c>
      <c r="F5039" s="38">
        <v>98700</v>
      </c>
      <c r="G5039" s="38" t="s">
        <v>667</v>
      </c>
      <c r="H5039" s="25" t="str">
        <f>"平成15年2月25日"</f>
        <v>平成15年2月25日</v>
      </c>
      <c r="I5039" s="22">
        <f t="shared" si="166"/>
        <v>37677</v>
      </c>
      <c r="J5039" s="1" t="str">
        <f>"00746451"</f>
        <v>00746451</v>
      </c>
      <c r="K5039" s="1" t="str">
        <f>"３３７　　　　　　　　　　　　　　　　　"</f>
        <v>３３７　　　　　　　　　　　　　　　　　</v>
      </c>
      <c r="L5039" s="1"/>
    </row>
    <row r="5040" spans="1:12" ht="18" customHeight="1" x14ac:dyDescent="0.15">
      <c r="A5040" s="1">
        <v>4740</v>
      </c>
      <c r="B5040" s="25" t="s">
        <v>436</v>
      </c>
      <c r="C5040" s="25" t="s">
        <v>441</v>
      </c>
      <c r="D5040" s="25">
        <v>1</v>
      </c>
      <c r="E5040" s="25" t="s">
        <v>4</v>
      </c>
      <c r="F5040" s="38">
        <v>98700</v>
      </c>
      <c r="G5040" s="38" t="s">
        <v>667</v>
      </c>
      <c r="H5040" s="25" t="str">
        <f>"平成15年2月25日"</f>
        <v>平成15年2月25日</v>
      </c>
      <c r="I5040" s="22">
        <f t="shared" si="166"/>
        <v>37677</v>
      </c>
      <c r="J5040" s="1" t="str">
        <f>"00746453"</f>
        <v>00746453</v>
      </c>
      <c r="K5040" s="1" t="str">
        <f>"３３８　　　　　　　　　　　　　　　　　"</f>
        <v>３３８　　　　　　　　　　　　　　　　　</v>
      </c>
      <c r="L5040" s="1"/>
    </row>
    <row r="5041" spans="1:12" ht="18" customHeight="1" x14ac:dyDescent="0.15">
      <c r="A5041" s="1">
        <v>4741</v>
      </c>
      <c r="B5041" s="25" t="s">
        <v>436</v>
      </c>
      <c r="C5041" s="25" t="s">
        <v>441</v>
      </c>
      <c r="D5041" s="25">
        <v>1</v>
      </c>
      <c r="E5041" s="25" t="s">
        <v>4</v>
      </c>
      <c r="F5041" s="38">
        <v>98700</v>
      </c>
      <c r="G5041" s="38" t="s">
        <v>667</v>
      </c>
      <c r="H5041" s="25" t="str">
        <f>"平成15年2月25日"</f>
        <v>平成15年2月25日</v>
      </c>
      <c r="I5041" s="22">
        <f t="shared" si="166"/>
        <v>37677</v>
      </c>
      <c r="J5041" s="1" t="str">
        <f>"00746455"</f>
        <v>00746455</v>
      </c>
      <c r="K5041" s="1" t="str">
        <f>"３３９　　　　　　　　　　　　　　　　　"</f>
        <v>３３９　　　　　　　　　　　　　　　　　</v>
      </c>
      <c r="L5041" s="1"/>
    </row>
    <row r="5042" spans="1:12" ht="18" customHeight="1" x14ac:dyDescent="0.15">
      <c r="A5042" s="1">
        <v>4742</v>
      </c>
      <c r="B5042" s="25" t="s">
        <v>436</v>
      </c>
      <c r="C5042" s="25" t="s">
        <v>441</v>
      </c>
      <c r="D5042" s="25">
        <v>1</v>
      </c>
      <c r="E5042" s="25" t="s">
        <v>4</v>
      </c>
      <c r="F5042" s="38">
        <v>98700</v>
      </c>
      <c r="G5042" s="38" t="s">
        <v>667</v>
      </c>
      <c r="H5042" s="25" t="str">
        <f>"平成15年2月25日"</f>
        <v>平成15年2月25日</v>
      </c>
      <c r="I5042" s="22">
        <f t="shared" si="166"/>
        <v>37677</v>
      </c>
      <c r="J5042" s="1" t="str">
        <f>"00746457"</f>
        <v>00746457</v>
      </c>
      <c r="K5042" s="1" t="str">
        <f>"３４０　　　　　　　　　　　　　　　　　"</f>
        <v>３４０　　　　　　　　　　　　　　　　　</v>
      </c>
      <c r="L5042" s="1"/>
    </row>
    <row r="5043" spans="1:12" ht="18" customHeight="1" x14ac:dyDescent="0.15">
      <c r="A5043" s="1">
        <v>34</v>
      </c>
      <c r="B5043" s="25" t="s">
        <v>65</v>
      </c>
      <c r="C5043" s="25" t="s">
        <v>66</v>
      </c>
      <c r="D5043" s="25">
        <v>1</v>
      </c>
      <c r="E5043" s="25" t="s">
        <v>4</v>
      </c>
      <c r="F5043" s="38">
        <v>21250</v>
      </c>
      <c r="G5043" s="38" t="s">
        <v>667</v>
      </c>
      <c r="H5043" s="25" t="str">
        <f>"平成15年3月7日"</f>
        <v>平成15年3月7日</v>
      </c>
      <c r="I5043" s="22">
        <f t="shared" si="166"/>
        <v>37687</v>
      </c>
      <c r="J5043" s="1" t="str">
        <f>"00735785"</f>
        <v>00735785</v>
      </c>
      <c r="K5043" s="1" t="str">
        <f>"３０６　　　　　　　　　　　　　　　　　"</f>
        <v>３０６　　　　　　　　　　　　　　　　　</v>
      </c>
      <c r="L5043" s="1"/>
    </row>
    <row r="5044" spans="1:12" ht="18" customHeight="1" x14ac:dyDescent="0.15">
      <c r="A5044" s="1">
        <v>35</v>
      </c>
      <c r="B5044" s="25" t="s">
        <v>65</v>
      </c>
      <c r="C5044" s="25" t="s">
        <v>66</v>
      </c>
      <c r="D5044" s="25">
        <v>1</v>
      </c>
      <c r="E5044" s="25" t="s">
        <v>4</v>
      </c>
      <c r="F5044" s="38">
        <v>21250</v>
      </c>
      <c r="G5044" s="38" t="s">
        <v>667</v>
      </c>
      <c r="H5044" s="25" t="str">
        <f>"平成15年3月7日"</f>
        <v>平成15年3月7日</v>
      </c>
      <c r="I5044" s="22">
        <f t="shared" si="166"/>
        <v>37687</v>
      </c>
      <c r="J5044" s="1" t="str">
        <f>"00735793"</f>
        <v>00735793</v>
      </c>
      <c r="K5044" s="1" t="str">
        <f>"３０７　　　　　　　　　　　　　　　　　"</f>
        <v>３０７　　　　　　　　　　　　　　　　　</v>
      </c>
      <c r="L5044" s="1"/>
    </row>
    <row r="5045" spans="1:12" ht="18" customHeight="1" x14ac:dyDescent="0.15">
      <c r="A5045" s="1">
        <v>36</v>
      </c>
      <c r="B5045" s="25" t="s">
        <v>65</v>
      </c>
      <c r="C5045" s="25" t="s">
        <v>66</v>
      </c>
      <c r="D5045" s="25">
        <v>1</v>
      </c>
      <c r="E5045" s="25" t="s">
        <v>4</v>
      </c>
      <c r="F5045" s="38">
        <v>21250</v>
      </c>
      <c r="G5045" s="38" t="s">
        <v>667</v>
      </c>
      <c r="H5045" s="25" t="str">
        <f>"平成15年3月7日"</f>
        <v>平成15年3月7日</v>
      </c>
      <c r="I5045" s="22">
        <f t="shared" si="166"/>
        <v>37687</v>
      </c>
      <c r="J5045" s="1" t="str">
        <f>"00735800"</f>
        <v>00735800</v>
      </c>
      <c r="K5045" s="1" t="str">
        <f>"３０８　　　　　　　　　　　　　　　　　"</f>
        <v>３０８　　　　　　　　　　　　　　　　　</v>
      </c>
      <c r="L5045" s="1"/>
    </row>
    <row r="5046" spans="1:12" ht="18" customHeight="1" x14ac:dyDescent="0.15">
      <c r="A5046" s="1">
        <v>37</v>
      </c>
      <c r="B5046" s="25" t="s">
        <v>65</v>
      </c>
      <c r="C5046" s="25" t="s">
        <v>66</v>
      </c>
      <c r="D5046" s="25">
        <v>1</v>
      </c>
      <c r="E5046" s="25" t="s">
        <v>4</v>
      </c>
      <c r="F5046" s="38">
        <v>21250</v>
      </c>
      <c r="G5046" s="38" t="s">
        <v>667</v>
      </c>
      <c r="H5046" s="25" t="str">
        <f>"平成15年3月7日"</f>
        <v>平成15年3月7日</v>
      </c>
      <c r="I5046" s="22">
        <f t="shared" si="166"/>
        <v>37687</v>
      </c>
      <c r="J5046" s="1" t="str">
        <f>"00735808"</f>
        <v>00735808</v>
      </c>
      <c r="K5046" s="1" t="str">
        <f>"３０９　　　　　　　　　　　　　　　　　"</f>
        <v>３０９　　　　　　　　　　　　　　　　　</v>
      </c>
      <c r="L5046" s="1"/>
    </row>
    <row r="5047" spans="1:12" ht="18" customHeight="1" x14ac:dyDescent="0.15">
      <c r="A5047" s="1">
        <v>38</v>
      </c>
      <c r="B5047" s="25" t="s">
        <v>65</v>
      </c>
      <c r="C5047" s="25" t="s">
        <v>66</v>
      </c>
      <c r="D5047" s="25">
        <v>1</v>
      </c>
      <c r="E5047" s="25" t="s">
        <v>4</v>
      </c>
      <c r="F5047" s="38">
        <v>21250</v>
      </c>
      <c r="G5047" s="38" t="s">
        <v>667</v>
      </c>
      <c r="H5047" s="25" t="str">
        <f>"平成15年3月7日"</f>
        <v>平成15年3月7日</v>
      </c>
      <c r="I5047" s="22">
        <f t="shared" si="166"/>
        <v>37687</v>
      </c>
      <c r="J5047" s="1" t="str">
        <f>"00735816"</f>
        <v>00735816</v>
      </c>
      <c r="K5047" s="1" t="str">
        <f>"３１０　　　　　　　　　　　　　　　　　"</f>
        <v>３１０　　　　　　　　　　　　　　　　　</v>
      </c>
      <c r="L5047" s="1"/>
    </row>
    <row r="5048" spans="1:12" ht="18" customHeight="1" x14ac:dyDescent="0.15">
      <c r="A5048" s="1">
        <v>3773</v>
      </c>
      <c r="B5048" s="25" t="s">
        <v>206</v>
      </c>
      <c r="C5048" s="25" t="s">
        <v>221</v>
      </c>
      <c r="D5048" s="25">
        <v>1</v>
      </c>
      <c r="E5048" s="25" t="s">
        <v>4</v>
      </c>
      <c r="F5048" s="38">
        <v>306390</v>
      </c>
      <c r="G5048" s="38" t="s">
        <v>667</v>
      </c>
      <c r="H5048" s="25" t="str">
        <f>"平成15年3月10日"</f>
        <v>平成15年3月10日</v>
      </c>
      <c r="I5048" s="22">
        <f t="shared" si="166"/>
        <v>37690</v>
      </c>
      <c r="J5048" s="1" t="str">
        <f>"00743979"</f>
        <v>00743979</v>
      </c>
      <c r="K5048" s="1" t="str">
        <f>"３６７　　　　　　　　　　　　　　　　　"</f>
        <v>３６７　　　　　　　　　　　　　　　　　</v>
      </c>
      <c r="L5048" s="1"/>
    </row>
    <row r="5049" spans="1:12" ht="18" customHeight="1" x14ac:dyDescent="0.15">
      <c r="A5049" s="1">
        <v>3774</v>
      </c>
      <c r="B5049" s="25" t="s">
        <v>206</v>
      </c>
      <c r="C5049" s="25" t="s">
        <v>221</v>
      </c>
      <c r="D5049" s="25">
        <v>1</v>
      </c>
      <c r="E5049" s="25" t="s">
        <v>4</v>
      </c>
      <c r="F5049" s="38">
        <v>306390</v>
      </c>
      <c r="G5049" s="38" t="s">
        <v>667</v>
      </c>
      <c r="H5049" s="25" t="str">
        <f>"平成15年3月10日"</f>
        <v>平成15年3月10日</v>
      </c>
      <c r="I5049" s="22">
        <f t="shared" si="166"/>
        <v>37690</v>
      </c>
      <c r="J5049" s="1" t="str">
        <f>"00743981"</f>
        <v>00743981</v>
      </c>
      <c r="K5049" s="1" t="str">
        <f>"３６８　　　　　　　　　　　　　　　　　"</f>
        <v>３６８　　　　　　　　　　　　　　　　　</v>
      </c>
      <c r="L5049" s="1"/>
    </row>
    <row r="5050" spans="1:12" ht="18" customHeight="1" x14ac:dyDescent="0.15">
      <c r="A5050" s="1">
        <v>3775</v>
      </c>
      <c r="B5050" s="25" t="s">
        <v>206</v>
      </c>
      <c r="C5050" s="25" t="s">
        <v>221</v>
      </c>
      <c r="D5050" s="25">
        <v>1</v>
      </c>
      <c r="E5050" s="25" t="s">
        <v>4</v>
      </c>
      <c r="F5050" s="38">
        <v>306390</v>
      </c>
      <c r="G5050" s="38" t="s">
        <v>667</v>
      </c>
      <c r="H5050" s="25" t="str">
        <f>"平成15年3月10日"</f>
        <v>平成15年3月10日</v>
      </c>
      <c r="I5050" s="22">
        <f t="shared" si="166"/>
        <v>37690</v>
      </c>
      <c r="J5050" s="1" t="str">
        <f>"00743983"</f>
        <v>00743983</v>
      </c>
      <c r="K5050" s="1" t="str">
        <f>"３６９　　　　　　　　　　　　　　　　　"</f>
        <v>３６９　　　　　　　　　　　　　　　　　</v>
      </c>
      <c r="L5050" s="1"/>
    </row>
    <row r="5051" spans="1:12" ht="18" customHeight="1" x14ac:dyDescent="0.15">
      <c r="A5051" s="1">
        <v>3776</v>
      </c>
      <c r="B5051" s="25" t="s">
        <v>206</v>
      </c>
      <c r="C5051" s="25" t="s">
        <v>221</v>
      </c>
      <c r="D5051" s="25">
        <v>1</v>
      </c>
      <c r="E5051" s="25" t="s">
        <v>4</v>
      </c>
      <c r="F5051" s="38">
        <v>306390</v>
      </c>
      <c r="G5051" s="38" t="s">
        <v>667</v>
      </c>
      <c r="H5051" s="25" t="str">
        <f>"平成15年3月10日"</f>
        <v>平成15年3月10日</v>
      </c>
      <c r="I5051" s="22">
        <f t="shared" si="166"/>
        <v>37690</v>
      </c>
      <c r="J5051" s="1" t="str">
        <f>"00743985"</f>
        <v>00743985</v>
      </c>
      <c r="K5051" s="1" t="str">
        <f>"３７０　　　　　　　　　　　　　　　　　"</f>
        <v>３７０　　　　　　　　　　　　　　　　　</v>
      </c>
      <c r="L5051" s="1"/>
    </row>
    <row r="5052" spans="1:12" ht="18" customHeight="1" x14ac:dyDescent="0.15">
      <c r="A5052" s="1">
        <v>55</v>
      </c>
      <c r="B5052" s="25" t="s">
        <v>94</v>
      </c>
      <c r="C5052" s="25" t="s">
        <v>95</v>
      </c>
      <c r="D5052" s="25">
        <v>1</v>
      </c>
      <c r="E5052" s="25" t="s">
        <v>21</v>
      </c>
      <c r="F5052" s="38">
        <v>58800</v>
      </c>
      <c r="G5052" s="38" t="s">
        <v>667</v>
      </c>
      <c r="H5052" s="25" t="str">
        <f>"平成15年3月14日"</f>
        <v>平成15年3月14日</v>
      </c>
      <c r="I5052" s="22">
        <f t="shared" si="166"/>
        <v>37694</v>
      </c>
      <c r="J5052" s="1" t="str">
        <f>"00735991"</f>
        <v>00735991</v>
      </c>
      <c r="K5052" s="1" t="str">
        <f>"３０１　　　　　　　　　　　　　　　　　"</f>
        <v>３０１　　　　　　　　　　　　　　　　　</v>
      </c>
      <c r="L5052" s="1"/>
    </row>
    <row r="5053" spans="1:12" ht="18" customHeight="1" x14ac:dyDescent="0.15">
      <c r="A5053" s="1">
        <v>56</v>
      </c>
      <c r="B5053" s="25" t="s">
        <v>94</v>
      </c>
      <c r="C5053" s="25" t="s">
        <v>95</v>
      </c>
      <c r="D5053" s="25">
        <v>1</v>
      </c>
      <c r="E5053" s="25" t="s">
        <v>21</v>
      </c>
      <c r="F5053" s="38">
        <v>58800</v>
      </c>
      <c r="G5053" s="38" t="s">
        <v>667</v>
      </c>
      <c r="H5053" s="25" t="str">
        <f>"平成15年3月14日"</f>
        <v>平成15年3月14日</v>
      </c>
      <c r="I5053" s="22">
        <f t="shared" si="166"/>
        <v>37694</v>
      </c>
      <c r="J5053" s="1" t="str">
        <f>"00735997"</f>
        <v>00735997</v>
      </c>
      <c r="K5053" s="1" t="str">
        <f>"３０２　　　　　　　　　　　　　　　　　"</f>
        <v>３０２　　　　　　　　　　　　　　　　　</v>
      </c>
      <c r="L5053" s="1"/>
    </row>
    <row r="5054" spans="1:12" s="40" customFormat="1" ht="18" customHeight="1" x14ac:dyDescent="0.15">
      <c r="A5054" s="25">
        <v>3939</v>
      </c>
      <c r="B5054" s="25" t="s">
        <v>67</v>
      </c>
      <c r="C5054" s="25" t="s">
        <v>243</v>
      </c>
      <c r="D5054" s="25">
        <v>1</v>
      </c>
      <c r="E5054" s="25" t="s">
        <v>4</v>
      </c>
      <c r="F5054" s="38">
        <v>246750</v>
      </c>
      <c r="G5054" s="38" t="s">
        <v>667</v>
      </c>
      <c r="H5054" s="25" t="str">
        <f>"平成15年3月16日"</f>
        <v>平成15年3月16日</v>
      </c>
      <c r="I5054" s="39">
        <f t="shared" si="166"/>
        <v>37696</v>
      </c>
      <c r="J5054" s="25" t="str">
        <f>"00744353"</f>
        <v>00744353</v>
      </c>
      <c r="K5054" s="25" t="str">
        <f>"４９０　　　　　　　　　　　　　　　　　"</f>
        <v>４９０　　　　　　　　　　　　　　　　　</v>
      </c>
      <c r="L5054" s="25"/>
    </row>
    <row r="5055" spans="1:12" s="40" customFormat="1" ht="18" customHeight="1" x14ac:dyDescent="0.15">
      <c r="A5055" s="25">
        <v>3940</v>
      </c>
      <c r="B5055" s="25" t="s">
        <v>67</v>
      </c>
      <c r="C5055" s="25" t="s">
        <v>243</v>
      </c>
      <c r="D5055" s="25">
        <v>1</v>
      </c>
      <c r="E5055" s="25" t="s">
        <v>4</v>
      </c>
      <c r="F5055" s="38">
        <v>246750</v>
      </c>
      <c r="G5055" s="38" t="s">
        <v>667</v>
      </c>
      <c r="H5055" s="25" t="str">
        <f>"平成15年3月16日"</f>
        <v>平成15年3月16日</v>
      </c>
      <c r="I5055" s="39">
        <f t="shared" si="166"/>
        <v>37696</v>
      </c>
      <c r="J5055" s="25" t="str">
        <f>"00744355"</f>
        <v>00744355</v>
      </c>
      <c r="K5055" s="25" t="str">
        <f>"４９１　　　　　　　　　　　　　　　　　"</f>
        <v>４９１　　　　　　　　　　　　　　　　　</v>
      </c>
      <c r="L5055" s="25"/>
    </row>
    <row r="5056" spans="1:12" s="40" customFormat="1" ht="18" customHeight="1" x14ac:dyDescent="0.15">
      <c r="A5056" s="25">
        <v>3941</v>
      </c>
      <c r="B5056" s="25" t="s">
        <v>67</v>
      </c>
      <c r="C5056" s="25" t="s">
        <v>244</v>
      </c>
      <c r="D5056" s="25">
        <v>1</v>
      </c>
      <c r="E5056" s="25" t="s">
        <v>4</v>
      </c>
      <c r="F5056" s="38">
        <v>246750</v>
      </c>
      <c r="G5056" s="38" t="s">
        <v>667</v>
      </c>
      <c r="H5056" s="25" t="str">
        <f>"平成15年3月16日"</f>
        <v>平成15年3月16日</v>
      </c>
      <c r="I5056" s="39">
        <f t="shared" si="166"/>
        <v>37696</v>
      </c>
      <c r="J5056" s="25" t="str">
        <f>"00744356"</f>
        <v>00744356</v>
      </c>
      <c r="K5056" s="25" t="str">
        <f>"４９２　　　　　　　　　　　　　　　　　"</f>
        <v>４９２　　　　　　　　　　　　　　　　　</v>
      </c>
      <c r="L5056" s="25"/>
    </row>
    <row r="5057" spans="1:12" s="40" customFormat="1" ht="18" customHeight="1" x14ac:dyDescent="0.15">
      <c r="A5057" s="25">
        <v>4205</v>
      </c>
      <c r="B5057" s="25" t="s">
        <v>58</v>
      </c>
      <c r="C5057" s="25" t="s">
        <v>302</v>
      </c>
      <c r="D5057" s="25">
        <v>1</v>
      </c>
      <c r="E5057" s="25" t="s">
        <v>17</v>
      </c>
      <c r="F5057" s="38">
        <v>112350</v>
      </c>
      <c r="G5057" s="38" t="s">
        <v>667</v>
      </c>
      <c r="H5057" s="25" t="str">
        <f t="shared" ref="H5057:H5069" si="167">"平成15年3月20日"</f>
        <v>平成15年3月20日</v>
      </c>
      <c r="I5057" s="39">
        <f t="shared" si="166"/>
        <v>37700</v>
      </c>
      <c r="J5057" s="25" t="str">
        <f>"00745203"</f>
        <v>00745203</v>
      </c>
      <c r="K5057" s="25" t="str">
        <f>"３９９　　　　　　　　　　　　　　　　　"</f>
        <v>３９９　　　　　　　　　　　　　　　　　</v>
      </c>
      <c r="L5057" s="25"/>
    </row>
    <row r="5058" spans="1:12" s="40" customFormat="1" ht="18" customHeight="1" x14ac:dyDescent="0.15">
      <c r="A5058" s="25">
        <v>4206</v>
      </c>
      <c r="B5058" s="25" t="s">
        <v>58</v>
      </c>
      <c r="C5058" s="25" t="s">
        <v>302</v>
      </c>
      <c r="D5058" s="25">
        <v>1</v>
      </c>
      <c r="E5058" s="25" t="s">
        <v>17</v>
      </c>
      <c r="F5058" s="38">
        <v>112350</v>
      </c>
      <c r="G5058" s="38" t="s">
        <v>667</v>
      </c>
      <c r="H5058" s="25" t="str">
        <f t="shared" si="167"/>
        <v>平成15年3月20日</v>
      </c>
      <c r="I5058" s="39">
        <f t="shared" si="166"/>
        <v>37700</v>
      </c>
      <c r="J5058" s="25" t="str">
        <f>"00745205"</f>
        <v>00745205</v>
      </c>
      <c r="K5058" s="25" t="str">
        <f>"４００　　　　　　　　　　　　　　　　　"</f>
        <v>４００　　　　　　　　　　　　　　　　　</v>
      </c>
      <c r="L5058" s="25"/>
    </row>
    <row r="5059" spans="1:12" s="40" customFormat="1" ht="18" customHeight="1" x14ac:dyDescent="0.15">
      <c r="A5059" s="25">
        <v>4207</v>
      </c>
      <c r="B5059" s="25" t="s">
        <v>58</v>
      </c>
      <c r="C5059" s="25" t="s">
        <v>302</v>
      </c>
      <c r="D5059" s="25">
        <v>1</v>
      </c>
      <c r="E5059" s="25" t="s">
        <v>17</v>
      </c>
      <c r="F5059" s="38">
        <v>112350</v>
      </c>
      <c r="G5059" s="38" t="s">
        <v>667</v>
      </c>
      <c r="H5059" s="25" t="str">
        <f t="shared" si="167"/>
        <v>平成15年3月20日</v>
      </c>
      <c r="I5059" s="39">
        <f t="shared" si="166"/>
        <v>37700</v>
      </c>
      <c r="J5059" s="25" t="str">
        <f>"00745206"</f>
        <v>00745206</v>
      </c>
      <c r="K5059" s="25" t="str">
        <f>"４０１　　　　　　　　　　　　　　　　　"</f>
        <v>４０１　　　　　　　　　　　　　　　　　</v>
      </c>
      <c r="L5059" s="25"/>
    </row>
    <row r="5060" spans="1:12" s="40" customFormat="1" ht="18" customHeight="1" x14ac:dyDescent="0.15">
      <c r="A5060" s="25">
        <v>4208</v>
      </c>
      <c r="B5060" s="25" t="s">
        <v>58</v>
      </c>
      <c r="C5060" s="25" t="s">
        <v>302</v>
      </c>
      <c r="D5060" s="25">
        <v>1</v>
      </c>
      <c r="E5060" s="25" t="s">
        <v>17</v>
      </c>
      <c r="F5060" s="38">
        <v>112350</v>
      </c>
      <c r="G5060" s="38" t="s">
        <v>667</v>
      </c>
      <c r="H5060" s="25" t="str">
        <f t="shared" si="167"/>
        <v>平成15年3月20日</v>
      </c>
      <c r="I5060" s="39">
        <f t="shared" si="166"/>
        <v>37700</v>
      </c>
      <c r="J5060" s="25" t="str">
        <f>"00745208"</f>
        <v>00745208</v>
      </c>
      <c r="K5060" s="25" t="str">
        <f>"４０２　　　　　　　　　　　　　　　　　"</f>
        <v>４０２　　　　　　　　　　　　　　　　　</v>
      </c>
      <c r="L5060" s="25"/>
    </row>
    <row r="5061" spans="1:12" s="40" customFormat="1" ht="18" customHeight="1" x14ac:dyDescent="0.15">
      <c r="A5061" s="25">
        <v>4209</v>
      </c>
      <c r="B5061" s="25" t="s">
        <v>58</v>
      </c>
      <c r="C5061" s="25" t="s">
        <v>302</v>
      </c>
      <c r="D5061" s="25">
        <v>1</v>
      </c>
      <c r="E5061" s="25" t="s">
        <v>17</v>
      </c>
      <c r="F5061" s="38">
        <v>112350</v>
      </c>
      <c r="G5061" s="38" t="s">
        <v>667</v>
      </c>
      <c r="H5061" s="25" t="str">
        <f t="shared" si="167"/>
        <v>平成15年3月20日</v>
      </c>
      <c r="I5061" s="39">
        <f t="shared" si="166"/>
        <v>37700</v>
      </c>
      <c r="J5061" s="25" t="str">
        <f>"00745211"</f>
        <v>00745211</v>
      </c>
      <c r="K5061" s="25" t="str">
        <f>"４０３　　　　　　　　　　　　　　　　　"</f>
        <v>４０３　　　　　　　　　　　　　　　　　</v>
      </c>
      <c r="L5061" s="25"/>
    </row>
    <row r="5062" spans="1:12" s="40" customFormat="1" ht="18" customHeight="1" x14ac:dyDescent="0.15">
      <c r="A5062" s="25">
        <v>4210</v>
      </c>
      <c r="B5062" s="25" t="s">
        <v>58</v>
      </c>
      <c r="C5062" s="25" t="s">
        <v>302</v>
      </c>
      <c r="D5062" s="25">
        <v>1</v>
      </c>
      <c r="E5062" s="25" t="s">
        <v>17</v>
      </c>
      <c r="F5062" s="38">
        <v>112350</v>
      </c>
      <c r="G5062" s="38" t="s">
        <v>667</v>
      </c>
      <c r="H5062" s="25" t="str">
        <f t="shared" si="167"/>
        <v>平成15年3月20日</v>
      </c>
      <c r="I5062" s="39">
        <f t="shared" si="166"/>
        <v>37700</v>
      </c>
      <c r="J5062" s="25" t="str">
        <f>"00745213"</f>
        <v>00745213</v>
      </c>
      <c r="K5062" s="25" t="str">
        <f>"４０４　　　　　　　　　　　　　　　　　"</f>
        <v>４０４　　　　　　　　　　　　　　　　　</v>
      </c>
      <c r="L5062" s="25"/>
    </row>
    <row r="5063" spans="1:12" s="40" customFormat="1" ht="18" customHeight="1" x14ac:dyDescent="0.15">
      <c r="A5063" s="25">
        <v>4211</v>
      </c>
      <c r="B5063" s="25" t="s">
        <v>58</v>
      </c>
      <c r="C5063" s="25" t="s">
        <v>302</v>
      </c>
      <c r="D5063" s="25">
        <v>1</v>
      </c>
      <c r="E5063" s="25" t="s">
        <v>17</v>
      </c>
      <c r="F5063" s="38">
        <v>112350</v>
      </c>
      <c r="G5063" s="38" t="s">
        <v>667</v>
      </c>
      <c r="H5063" s="25" t="str">
        <f t="shared" si="167"/>
        <v>平成15年3月20日</v>
      </c>
      <c r="I5063" s="39">
        <f t="shared" si="166"/>
        <v>37700</v>
      </c>
      <c r="J5063" s="25" t="str">
        <f>"00745215"</f>
        <v>00745215</v>
      </c>
      <c r="K5063" s="25" t="str">
        <f>"４０５　　　　　　　　　　　　　　　　　"</f>
        <v>４０５　　　　　　　　　　　　　　　　　</v>
      </c>
      <c r="L5063" s="25"/>
    </row>
    <row r="5064" spans="1:12" s="40" customFormat="1" ht="18" customHeight="1" x14ac:dyDescent="0.15">
      <c r="A5064" s="25">
        <v>4212</v>
      </c>
      <c r="B5064" s="25" t="s">
        <v>58</v>
      </c>
      <c r="C5064" s="25" t="s">
        <v>302</v>
      </c>
      <c r="D5064" s="25">
        <v>1</v>
      </c>
      <c r="E5064" s="25" t="s">
        <v>17</v>
      </c>
      <c r="F5064" s="38">
        <v>112350</v>
      </c>
      <c r="G5064" s="38" t="s">
        <v>667</v>
      </c>
      <c r="H5064" s="25" t="str">
        <f t="shared" si="167"/>
        <v>平成15年3月20日</v>
      </c>
      <c r="I5064" s="39">
        <f t="shared" si="166"/>
        <v>37700</v>
      </c>
      <c r="J5064" s="25" t="str">
        <f>"00745217"</f>
        <v>00745217</v>
      </c>
      <c r="K5064" s="25" t="str">
        <f>"４０６　　　　　　　　　　　　　　　　　"</f>
        <v>４０６　　　　　　　　　　　　　　　　　</v>
      </c>
      <c r="L5064" s="25"/>
    </row>
    <row r="5065" spans="1:12" s="40" customFormat="1" ht="18" customHeight="1" x14ac:dyDescent="0.15">
      <c r="A5065" s="25">
        <v>4213</v>
      </c>
      <c r="B5065" s="25" t="s">
        <v>58</v>
      </c>
      <c r="C5065" s="25" t="s">
        <v>302</v>
      </c>
      <c r="D5065" s="25">
        <v>1</v>
      </c>
      <c r="E5065" s="25" t="s">
        <v>17</v>
      </c>
      <c r="F5065" s="38">
        <v>112350</v>
      </c>
      <c r="G5065" s="38" t="s">
        <v>667</v>
      </c>
      <c r="H5065" s="25" t="str">
        <f t="shared" si="167"/>
        <v>平成15年3月20日</v>
      </c>
      <c r="I5065" s="39">
        <f t="shared" si="166"/>
        <v>37700</v>
      </c>
      <c r="J5065" s="25" t="str">
        <f>"00745219"</f>
        <v>00745219</v>
      </c>
      <c r="K5065" s="25" t="str">
        <f>"４０７　　　　　　　　　　　　　　　　　"</f>
        <v>４０７　　　　　　　　　　　　　　　　　</v>
      </c>
      <c r="L5065" s="25"/>
    </row>
    <row r="5066" spans="1:12" s="40" customFormat="1" ht="18" customHeight="1" x14ac:dyDescent="0.15">
      <c r="A5066" s="25">
        <v>4214</v>
      </c>
      <c r="B5066" s="25" t="s">
        <v>58</v>
      </c>
      <c r="C5066" s="25" t="s">
        <v>302</v>
      </c>
      <c r="D5066" s="25">
        <v>1</v>
      </c>
      <c r="E5066" s="25" t="s">
        <v>17</v>
      </c>
      <c r="F5066" s="38">
        <v>112350</v>
      </c>
      <c r="G5066" s="38" t="s">
        <v>667</v>
      </c>
      <c r="H5066" s="25" t="str">
        <f t="shared" si="167"/>
        <v>平成15年3月20日</v>
      </c>
      <c r="I5066" s="39">
        <f t="shared" si="166"/>
        <v>37700</v>
      </c>
      <c r="J5066" s="25" t="str">
        <f>"00745221"</f>
        <v>00745221</v>
      </c>
      <c r="K5066" s="25" t="str">
        <f>"４０８　　　　　　　　　　　　　　　　　"</f>
        <v>４０８　　　　　　　　　　　　　　　　　</v>
      </c>
      <c r="L5066" s="25"/>
    </row>
    <row r="5067" spans="1:12" s="40" customFormat="1" ht="18" customHeight="1" x14ac:dyDescent="0.15">
      <c r="A5067" s="25">
        <v>4215</v>
      </c>
      <c r="B5067" s="25" t="s">
        <v>58</v>
      </c>
      <c r="C5067" s="25" t="s">
        <v>302</v>
      </c>
      <c r="D5067" s="25">
        <v>1</v>
      </c>
      <c r="E5067" s="25" t="s">
        <v>17</v>
      </c>
      <c r="F5067" s="38">
        <v>112350</v>
      </c>
      <c r="G5067" s="38" t="s">
        <v>667</v>
      </c>
      <c r="H5067" s="25" t="str">
        <f t="shared" si="167"/>
        <v>平成15年3月20日</v>
      </c>
      <c r="I5067" s="39">
        <f t="shared" si="166"/>
        <v>37700</v>
      </c>
      <c r="J5067" s="25" t="str">
        <f>"00745223"</f>
        <v>00745223</v>
      </c>
      <c r="K5067" s="25" t="str">
        <f>"４０９　　　　　　　　　　　　　　　　　"</f>
        <v>４０９　　　　　　　　　　　　　　　　　</v>
      </c>
      <c r="L5067" s="25"/>
    </row>
    <row r="5068" spans="1:12" s="40" customFormat="1" ht="18" customHeight="1" x14ac:dyDescent="0.15">
      <c r="A5068" s="25">
        <v>4216</v>
      </c>
      <c r="B5068" s="25" t="s">
        <v>58</v>
      </c>
      <c r="C5068" s="25" t="s">
        <v>302</v>
      </c>
      <c r="D5068" s="25">
        <v>1</v>
      </c>
      <c r="E5068" s="25" t="s">
        <v>17</v>
      </c>
      <c r="F5068" s="38">
        <v>112350</v>
      </c>
      <c r="G5068" s="38" t="s">
        <v>667</v>
      </c>
      <c r="H5068" s="25" t="str">
        <f t="shared" si="167"/>
        <v>平成15年3月20日</v>
      </c>
      <c r="I5068" s="39">
        <f t="shared" si="166"/>
        <v>37700</v>
      </c>
      <c r="J5068" s="25" t="str">
        <f>"00745225"</f>
        <v>00745225</v>
      </c>
      <c r="K5068" s="25" t="str">
        <f>"４１０　　　　　　　　　　　　　　　　　"</f>
        <v>４１０　　　　　　　　　　　　　　　　　</v>
      </c>
      <c r="L5068" s="25"/>
    </row>
    <row r="5069" spans="1:12" s="40" customFormat="1" ht="18" customHeight="1" x14ac:dyDescent="0.15">
      <c r="A5069" s="25">
        <v>4217</v>
      </c>
      <c r="B5069" s="25" t="s">
        <v>58</v>
      </c>
      <c r="C5069" s="25" t="s">
        <v>302</v>
      </c>
      <c r="D5069" s="25">
        <v>1</v>
      </c>
      <c r="E5069" s="25" t="s">
        <v>17</v>
      </c>
      <c r="F5069" s="38">
        <v>112350</v>
      </c>
      <c r="G5069" s="38" t="s">
        <v>667</v>
      </c>
      <c r="H5069" s="25" t="str">
        <f t="shared" si="167"/>
        <v>平成15年3月20日</v>
      </c>
      <c r="I5069" s="39">
        <f t="shared" si="166"/>
        <v>37700</v>
      </c>
      <c r="J5069" s="25" t="str">
        <f>"00745227"</f>
        <v>00745227</v>
      </c>
      <c r="K5069" s="25" t="str">
        <f>"４１１　　　　　　　　　　　　　　　　　"</f>
        <v>４１１　　　　　　　　　　　　　　　　　</v>
      </c>
      <c r="L5069" s="25"/>
    </row>
    <row r="5070" spans="1:12" ht="18" customHeight="1" x14ac:dyDescent="0.15">
      <c r="A5070" s="1">
        <v>4330</v>
      </c>
      <c r="B5070" s="25" t="s">
        <v>334</v>
      </c>
      <c r="C5070" s="25" t="s">
        <v>335</v>
      </c>
      <c r="D5070" s="25">
        <v>1</v>
      </c>
      <c r="E5070" s="25" t="s">
        <v>21</v>
      </c>
      <c r="F5070" s="38">
        <v>333540</v>
      </c>
      <c r="G5070" s="38" t="s">
        <v>667</v>
      </c>
      <c r="H5070" s="25" t="str">
        <f>"平成16年1月27日"</f>
        <v>平成16年1月27日</v>
      </c>
      <c r="I5070" s="22">
        <f t="shared" si="166"/>
        <v>38013</v>
      </c>
      <c r="J5070" s="1" t="str">
        <f>"00745511"</f>
        <v>00745511</v>
      </c>
      <c r="K5070" s="1" t="str">
        <f>"２　　　　　　　　　　　　　　　　　　　"</f>
        <v>２　　　　　　　　　　　　　　　　　　　</v>
      </c>
      <c r="L5070" s="1"/>
    </row>
    <row r="5071" spans="1:12" s="40" customFormat="1" ht="18" customHeight="1" x14ac:dyDescent="0.15">
      <c r="A5071" s="25">
        <v>4799</v>
      </c>
      <c r="B5071" s="25" t="s">
        <v>456</v>
      </c>
      <c r="C5071" s="25" t="s">
        <v>460</v>
      </c>
      <c r="D5071" s="25">
        <v>1</v>
      </c>
      <c r="E5071" s="25" t="s">
        <v>4</v>
      </c>
      <c r="F5071" s="38">
        <v>235620</v>
      </c>
      <c r="G5071" s="38" t="s">
        <v>674</v>
      </c>
      <c r="H5071" s="25" t="str">
        <f>"平成16年2月3日"</f>
        <v>平成16年2月3日</v>
      </c>
      <c r="I5071" s="39">
        <f t="shared" si="166"/>
        <v>38020</v>
      </c>
      <c r="J5071" s="25" t="str">
        <f>"00746581"</f>
        <v>00746581</v>
      </c>
      <c r="K5071" s="25" t="str">
        <f>"３５３　　　　　　　　　　　　　　　　　"</f>
        <v>３５３　　　　　　　　　　　　　　　　　</v>
      </c>
      <c r="L5071" s="25"/>
    </row>
    <row r="5072" spans="1:12" s="40" customFormat="1" ht="18" customHeight="1" x14ac:dyDescent="0.15">
      <c r="A5072" s="25">
        <v>29</v>
      </c>
      <c r="B5072" s="25" t="s">
        <v>46</v>
      </c>
      <c r="C5072" s="25" t="s">
        <v>47</v>
      </c>
      <c r="D5072" s="25">
        <v>1</v>
      </c>
      <c r="E5072" s="25" t="s">
        <v>4</v>
      </c>
      <c r="F5072" s="38">
        <v>1260000</v>
      </c>
      <c r="G5072" s="38" t="s">
        <v>666</v>
      </c>
      <c r="H5072" s="25" t="str">
        <f>"平成16年3月31日"</f>
        <v>平成16年3月31日</v>
      </c>
      <c r="I5072" s="39">
        <f t="shared" si="166"/>
        <v>38077</v>
      </c>
      <c r="J5072" s="25" t="str">
        <f>"00006317"</f>
        <v>00006317</v>
      </c>
      <c r="K5072" s="25" t="str">
        <f>"４６７　　　　　　　　　　　　　　　　　"</f>
        <v>４６７　　　　　　　　　　　　　　　　　</v>
      </c>
      <c r="L5072" s="25"/>
    </row>
    <row r="5073" spans="1:12" s="40" customFormat="1" ht="18" customHeight="1" x14ac:dyDescent="0.15">
      <c r="A5073" s="25">
        <v>4765</v>
      </c>
      <c r="B5073" s="25" t="s">
        <v>46</v>
      </c>
      <c r="C5073" s="25" t="s">
        <v>450</v>
      </c>
      <c r="D5073" s="25">
        <v>1</v>
      </c>
      <c r="E5073" s="25" t="s">
        <v>4</v>
      </c>
      <c r="F5073" s="38">
        <v>564900</v>
      </c>
      <c r="G5073" s="38" t="s">
        <v>666</v>
      </c>
      <c r="H5073" s="25" t="str">
        <f>"平成16年3月31日"</f>
        <v>平成16年3月31日</v>
      </c>
      <c r="I5073" s="39">
        <f t="shared" si="166"/>
        <v>38077</v>
      </c>
      <c r="J5073" s="25" t="str">
        <f>"00746509"</f>
        <v>00746509</v>
      </c>
      <c r="K5073" s="25" t="str">
        <f>"４６８　　　　　　　　　　　　　　　　　"</f>
        <v>４６８　　　　　　　　　　　　　　　　　</v>
      </c>
      <c r="L5073" s="25"/>
    </row>
    <row r="5074" spans="1:12" s="40" customFormat="1" ht="18" customHeight="1" x14ac:dyDescent="0.15">
      <c r="A5074" s="25">
        <v>4771</v>
      </c>
      <c r="B5074" s="25" t="s">
        <v>452</v>
      </c>
      <c r="C5074" s="25" t="s">
        <v>454</v>
      </c>
      <c r="D5074" s="25">
        <v>1</v>
      </c>
      <c r="E5074" s="25" t="s">
        <v>4</v>
      </c>
      <c r="F5074" s="38">
        <v>194250</v>
      </c>
      <c r="G5074" s="38" t="s">
        <v>666</v>
      </c>
      <c r="H5074" s="25" t="str">
        <f>"平成16年3月31日"</f>
        <v>平成16年3月31日</v>
      </c>
      <c r="I5074" s="39">
        <f t="shared" si="166"/>
        <v>38077</v>
      </c>
      <c r="J5074" s="25" t="str">
        <f>"00746521"</f>
        <v>00746521</v>
      </c>
      <c r="K5074" s="25" t="str">
        <f>"４３５　　　　　　　　　　　　　　　　　"</f>
        <v>４３５　　　　　　　　　　　　　　　　　</v>
      </c>
      <c r="L5074" s="25"/>
    </row>
    <row r="5075" spans="1:12" s="40" customFormat="1" ht="18" customHeight="1" x14ac:dyDescent="0.15">
      <c r="A5075" s="25">
        <v>4772</v>
      </c>
      <c r="B5075" s="25" t="s">
        <v>452</v>
      </c>
      <c r="C5075" s="25" t="s">
        <v>455</v>
      </c>
      <c r="D5075" s="25">
        <v>1</v>
      </c>
      <c r="E5075" s="25" t="s">
        <v>4</v>
      </c>
      <c r="F5075" s="38">
        <v>315000</v>
      </c>
      <c r="G5075" s="38" t="s">
        <v>666</v>
      </c>
      <c r="H5075" s="25" t="str">
        <f>"平成16年3月31日"</f>
        <v>平成16年3月31日</v>
      </c>
      <c r="I5075" s="39">
        <f t="shared" si="166"/>
        <v>38077</v>
      </c>
      <c r="J5075" s="25" t="str">
        <f>"00746523"</f>
        <v>00746523</v>
      </c>
      <c r="K5075" s="25" t="str">
        <f>"４３６　　　　　　　　　　　　　　　　　"</f>
        <v>４３６　　　　　　　　　　　　　　　　　</v>
      </c>
      <c r="L5075" s="25"/>
    </row>
    <row r="5076" spans="1:12" ht="18" customHeight="1" x14ac:dyDescent="0.15">
      <c r="A5076" s="1">
        <v>4861</v>
      </c>
      <c r="B5076" s="11" t="s">
        <v>477</v>
      </c>
      <c r="C5076" s="11" t="s">
        <v>480</v>
      </c>
      <c r="D5076" s="11">
        <v>1</v>
      </c>
      <c r="E5076" s="11" t="s">
        <v>21</v>
      </c>
      <c r="F5076" s="12">
        <v>55125</v>
      </c>
      <c r="G5076" s="12">
        <v>55125</v>
      </c>
      <c r="H5076" s="11" t="str">
        <f>"平成17年3月3日"</f>
        <v>平成17年3月3日</v>
      </c>
      <c r="I5076" s="22">
        <f t="shared" si="166"/>
        <v>38414</v>
      </c>
      <c r="J5076" s="1" t="str">
        <f>"00746881"</f>
        <v>00746881</v>
      </c>
      <c r="K5076" s="1" t="str">
        <f>"３１５　　　　　　　　　　　　　　　　　"</f>
        <v>３１５　　　　　　　　　　　　　　　　　</v>
      </c>
      <c r="L5076" s="1"/>
    </row>
    <row r="5077" spans="1:12" ht="18" customHeight="1" x14ac:dyDescent="0.15">
      <c r="A5077" s="1">
        <v>4862</v>
      </c>
      <c r="B5077" s="11" t="s">
        <v>477</v>
      </c>
      <c r="C5077" s="11" t="s">
        <v>480</v>
      </c>
      <c r="D5077" s="11">
        <v>1</v>
      </c>
      <c r="E5077" s="11" t="s">
        <v>21</v>
      </c>
      <c r="F5077" s="12">
        <v>55125</v>
      </c>
      <c r="G5077" s="12">
        <v>55125</v>
      </c>
      <c r="H5077" s="11" t="str">
        <f>"平成17年3月3日"</f>
        <v>平成17年3月3日</v>
      </c>
      <c r="I5077" s="22">
        <f t="shared" si="166"/>
        <v>38414</v>
      </c>
      <c r="J5077" s="1" t="str">
        <f>"00746883"</f>
        <v>00746883</v>
      </c>
      <c r="K5077" s="1" t="str">
        <f>"３１６　　　　　　　　　　　　　　　　　"</f>
        <v>３１６　　　　　　　　　　　　　　　　　</v>
      </c>
      <c r="L5077" s="1"/>
    </row>
    <row r="5078" spans="1:12" ht="18" customHeight="1" x14ac:dyDescent="0.15">
      <c r="A5078" s="1">
        <v>4863</v>
      </c>
      <c r="B5078" s="11" t="s">
        <v>477</v>
      </c>
      <c r="C5078" s="11" t="s">
        <v>480</v>
      </c>
      <c r="D5078" s="11">
        <v>1</v>
      </c>
      <c r="E5078" s="11" t="s">
        <v>21</v>
      </c>
      <c r="F5078" s="12">
        <v>55125</v>
      </c>
      <c r="G5078" s="12">
        <v>55125</v>
      </c>
      <c r="H5078" s="11" t="str">
        <f>"平成17年3月3日"</f>
        <v>平成17年3月3日</v>
      </c>
      <c r="I5078" s="22">
        <f t="shared" si="166"/>
        <v>38414</v>
      </c>
      <c r="J5078" s="1" t="str">
        <f>"00746885"</f>
        <v>00746885</v>
      </c>
      <c r="K5078" s="1" t="str">
        <f>"３１７　　　　　　　　　　　　　　　　　"</f>
        <v>３１７　　　　　　　　　　　　　　　　　</v>
      </c>
      <c r="L5078" s="1"/>
    </row>
    <row r="5079" spans="1:12" ht="18" customHeight="1" x14ac:dyDescent="0.15">
      <c r="A5079" s="26"/>
      <c r="B5079" s="26"/>
      <c r="C5079" s="28" t="s">
        <v>660</v>
      </c>
      <c r="D5079" s="26"/>
      <c r="E5079" s="26"/>
      <c r="F5079" s="45">
        <f>SUM(F4895:F5078)</f>
        <v>25581501</v>
      </c>
      <c r="G5079" s="29">
        <f>SUM(G4895:G5078)</f>
        <v>373968</v>
      </c>
      <c r="H5079" s="26"/>
      <c r="I5079" s="22"/>
      <c r="J5079" s="1"/>
      <c r="K5079" s="1"/>
      <c r="L5079" s="1"/>
    </row>
    <row r="5080" spans="1:12" ht="18" customHeight="1" x14ac:dyDescent="0.15">
      <c r="A5080" s="33"/>
      <c r="B5080" s="33"/>
      <c r="C5080" s="34" t="s">
        <v>662</v>
      </c>
      <c r="D5080" s="33"/>
      <c r="E5080" s="33"/>
      <c r="F5080" s="46">
        <f>F5079+F4893</f>
        <v>679613513</v>
      </c>
      <c r="G5080" s="35">
        <f>G5079+G4893</f>
        <v>308297092</v>
      </c>
      <c r="H5080" s="33"/>
      <c r="I5080" s="22"/>
      <c r="J5080" s="1"/>
      <c r="K5080" s="1"/>
      <c r="L5080" s="1"/>
    </row>
    <row r="5081" spans="1:12" ht="18" customHeight="1" x14ac:dyDescent="0.15">
      <c r="A5081" s="1"/>
      <c r="B5081" s="1" t="str">
        <f t="shared" ref="B5081:L5081" si="168">" "</f>
        <v xml:space="preserve"> </v>
      </c>
      <c r="C5081" s="1" t="str">
        <f t="shared" si="168"/>
        <v xml:space="preserve"> </v>
      </c>
      <c r="D5081" s="1" t="str">
        <f t="shared" si="168"/>
        <v xml:space="preserve"> </v>
      </c>
      <c r="E5081" s="1" t="str">
        <f t="shared" si="168"/>
        <v xml:space="preserve"> </v>
      </c>
      <c r="F5081" s="2" t="str">
        <f t="shared" si="168"/>
        <v xml:space="preserve"> </v>
      </c>
      <c r="G5081" s="2" t="str">
        <f t="shared" si="168"/>
        <v xml:space="preserve"> </v>
      </c>
      <c r="H5081" s="1" t="str">
        <f t="shared" si="168"/>
        <v xml:space="preserve"> </v>
      </c>
      <c r="I5081" s="22" t="str">
        <f t="shared" si="168"/>
        <v xml:space="preserve"> </v>
      </c>
      <c r="J5081" s="1" t="str">
        <f t="shared" si="168"/>
        <v xml:space="preserve"> </v>
      </c>
      <c r="K5081" s="1" t="str">
        <f t="shared" si="168"/>
        <v xml:space="preserve"> </v>
      </c>
      <c r="L5081" s="1" t="str">
        <f t="shared" si="168"/>
        <v xml:space="preserve"> </v>
      </c>
    </row>
    <row r="5082" spans="1:12" ht="18" customHeight="1" x14ac:dyDescent="0.15">
      <c r="A5082" s="1">
        <v>30</v>
      </c>
      <c r="B5082" s="1" t="s">
        <v>46</v>
      </c>
      <c r="C5082" s="1" t="s">
        <v>48</v>
      </c>
      <c r="D5082" s="1">
        <v>1</v>
      </c>
      <c r="E5082" s="1" t="s">
        <v>4</v>
      </c>
      <c r="F5082" s="2">
        <v>2625000</v>
      </c>
      <c r="G5082" s="56" t="s">
        <v>667</v>
      </c>
      <c r="H5082" s="1" t="str">
        <f>"平成18年3月2日"</f>
        <v>平成18年3月2日</v>
      </c>
      <c r="I5082" s="22">
        <f t="shared" ref="I5082:I5145" si="169">DATEVALUE(H5082)</f>
        <v>38778</v>
      </c>
      <c r="J5082" s="1" t="str">
        <f>"00006845"</f>
        <v>00006845</v>
      </c>
      <c r="K5082" s="1" t="str">
        <f>"４７０　　　　　　　　　　　　　　　　　"</f>
        <v>４７０　　　　　　　　　　　　　　　　　</v>
      </c>
      <c r="L5082" s="1"/>
    </row>
    <row r="5083" spans="1:12" ht="18" customHeight="1" x14ac:dyDescent="0.15">
      <c r="A5083" s="1">
        <v>31</v>
      </c>
      <c r="B5083" s="1" t="s">
        <v>46</v>
      </c>
      <c r="C5083" s="1" t="s">
        <v>49</v>
      </c>
      <c r="D5083" s="1">
        <v>1</v>
      </c>
      <c r="E5083" s="1" t="s">
        <v>4</v>
      </c>
      <c r="F5083" s="2">
        <v>2194500</v>
      </c>
      <c r="G5083" s="2" t="s">
        <v>668</v>
      </c>
      <c r="H5083" s="1" t="str">
        <f>"平成18年3月28日"</f>
        <v>平成18年3月28日</v>
      </c>
      <c r="I5083" s="22">
        <f t="shared" si="169"/>
        <v>38804</v>
      </c>
      <c r="J5083" s="1" t="str">
        <f>"00006917"</f>
        <v>00006917</v>
      </c>
      <c r="K5083" s="1" t="str">
        <f>"４６９　　　　　　　　　　　　　　　　　"</f>
        <v>４６９　　　　　　　　　　　　　　　　　</v>
      </c>
      <c r="L5083" s="1"/>
    </row>
    <row r="5084" spans="1:12" ht="18" customHeight="1" x14ac:dyDescent="0.15">
      <c r="A5084" s="1">
        <v>4766</v>
      </c>
      <c r="B5084" s="1" t="s">
        <v>46</v>
      </c>
      <c r="C5084" s="1" t="s">
        <v>451</v>
      </c>
      <c r="D5084" s="1">
        <v>1</v>
      </c>
      <c r="E5084" s="1" t="s">
        <v>4</v>
      </c>
      <c r="F5084" s="2">
        <v>260190</v>
      </c>
      <c r="G5084" s="2" t="s">
        <v>668</v>
      </c>
      <c r="H5084" s="1" t="str">
        <f>"平成18年3月30日"</f>
        <v>平成18年3月30日</v>
      </c>
      <c r="I5084" s="22">
        <f t="shared" si="169"/>
        <v>38806</v>
      </c>
      <c r="J5084" s="1" t="str">
        <f>"00746511"</f>
        <v>00746511</v>
      </c>
      <c r="K5084" s="1" t="str">
        <f>"４７１　　　　　　　　　　　　　　　　　"</f>
        <v>４７１　　　　　　　　　　　　　　　　　</v>
      </c>
      <c r="L5084" s="1"/>
    </row>
    <row r="5085" spans="1:12" ht="18" customHeight="1" x14ac:dyDescent="0.15">
      <c r="A5085" s="1">
        <v>4767</v>
      </c>
      <c r="B5085" s="1" t="s">
        <v>46</v>
      </c>
      <c r="C5085" s="1" t="s">
        <v>451</v>
      </c>
      <c r="D5085" s="1">
        <v>1</v>
      </c>
      <c r="E5085" s="1" t="s">
        <v>4</v>
      </c>
      <c r="F5085" s="2">
        <v>260190</v>
      </c>
      <c r="G5085" s="2" t="s">
        <v>668</v>
      </c>
      <c r="H5085" s="1" t="str">
        <f>"平成18年3月30日"</f>
        <v>平成18年3月30日</v>
      </c>
      <c r="I5085" s="22">
        <f t="shared" si="169"/>
        <v>38806</v>
      </c>
      <c r="J5085" s="1" t="str">
        <f>"00746513"</f>
        <v>00746513</v>
      </c>
      <c r="K5085" s="1" t="str">
        <f>"４７２　　　　　　　　　　　　　　　　　"</f>
        <v>４７２　　　　　　　　　　　　　　　　　</v>
      </c>
      <c r="L5085" s="1"/>
    </row>
    <row r="5086" spans="1:12" ht="18" customHeight="1" x14ac:dyDescent="0.15">
      <c r="A5086" s="1">
        <v>4768</v>
      </c>
      <c r="B5086" s="1" t="s">
        <v>46</v>
      </c>
      <c r="C5086" s="1" t="s">
        <v>451</v>
      </c>
      <c r="D5086" s="1">
        <v>1</v>
      </c>
      <c r="E5086" s="1" t="s">
        <v>4</v>
      </c>
      <c r="F5086" s="2">
        <v>260190</v>
      </c>
      <c r="G5086" s="2" t="s">
        <v>668</v>
      </c>
      <c r="H5086" s="1" t="str">
        <f>"平成18年3月30日"</f>
        <v>平成18年3月30日</v>
      </c>
      <c r="I5086" s="22">
        <f t="shared" si="169"/>
        <v>38806</v>
      </c>
      <c r="J5086" s="1" t="str">
        <f>"00746515"</f>
        <v>00746515</v>
      </c>
      <c r="K5086" s="1" t="str">
        <f>"４７３　　　　　　　　　　　　　　　　　"</f>
        <v>４７３　　　　　　　　　　　　　　　　　</v>
      </c>
      <c r="L5086" s="1"/>
    </row>
    <row r="5087" spans="1:12" ht="18" customHeight="1" x14ac:dyDescent="0.15">
      <c r="A5087" s="1">
        <v>4769</v>
      </c>
      <c r="B5087" s="1" t="s">
        <v>46</v>
      </c>
      <c r="C5087" s="1" t="s">
        <v>451</v>
      </c>
      <c r="D5087" s="1">
        <v>1</v>
      </c>
      <c r="E5087" s="1" t="s">
        <v>4</v>
      </c>
      <c r="F5087" s="2">
        <v>491400</v>
      </c>
      <c r="G5087" s="2" t="s">
        <v>668</v>
      </c>
      <c r="H5087" s="1" t="str">
        <f>"平成18年3月30日"</f>
        <v>平成18年3月30日</v>
      </c>
      <c r="I5087" s="22">
        <f t="shared" si="169"/>
        <v>38806</v>
      </c>
      <c r="J5087" s="1" t="str">
        <f>"00746517"</f>
        <v>00746517</v>
      </c>
      <c r="K5087" s="1" t="str">
        <f>"４７４　　　　　　　　　　　　　　　　　"</f>
        <v>４７４　　　　　　　　　　　　　　　　　</v>
      </c>
      <c r="L5087" s="1"/>
    </row>
    <row r="5088" spans="1:12" ht="18" customHeight="1" x14ac:dyDescent="0.15">
      <c r="A5088" s="1">
        <v>4800</v>
      </c>
      <c r="B5088" s="1" t="s">
        <v>456</v>
      </c>
      <c r="C5088" s="1" t="s">
        <v>461</v>
      </c>
      <c r="D5088" s="1">
        <v>1</v>
      </c>
      <c r="E5088" s="1" t="s">
        <v>4</v>
      </c>
      <c r="F5088" s="2">
        <v>299250</v>
      </c>
      <c r="G5088" s="38" t="s">
        <v>674</v>
      </c>
      <c r="H5088" s="1" t="str">
        <f>"平成18年4月1日"</f>
        <v>平成18年4月1日</v>
      </c>
      <c r="I5088" s="22">
        <f t="shared" si="169"/>
        <v>38808</v>
      </c>
      <c r="J5088" s="1" t="str">
        <f>"00746583"</f>
        <v>00746583</v>
      </c>
      <c r="K5088" s="1" t="str">
        <f>"３５４　　　　　　　　　　　　　　　　　"</f>
        <v>３５４　　　　　　　　　　　　　　　　　</v>
      </c>
      <c r="L5088" s="1"/>
    </row>
    <row r="5089" spans="1:12" ht="18" customHeight="1" x14ac:dyDescent="0.15">
      <c r="A5089" s="1">
        <v>32</v>
      </c>
      <c r="B5089" s="1" t="s">
        <v>7</v>
      </c>
      <c r="C5089" s="1" t="s">
        <v>50</v>
      </c>
      <c r="D5089" s="1">
        <v>1</v>
      </c>
      <c r="E5089" s="1" t="s">
        <v>9</v>
      </c>
      <c r="F5089" s="2">
        <v>1966230</v>
      </c>
      <c r="G5089" s="2" t="s">
        <v>667</v>
      </c>
      <c r="H5089" s="1" t="str">
        <f>"平成18年8月18日"</f>
        <v>平成18年8月18日</v>
      </c>
      <c r="I5089" s="22">
        <f t="shared" si="169"/>
        <v>38947</v>
      </c>
      <c r="J5089" s="1" t="str">
        <f>"00007014"</f>
        <v>00007014</v>
      </c>
      <c r="K5089" s="1" t="str">
        <f>"１２　　　　　　　　　　　　　　　　　　"</f>
        <v>１２　　　　　　　　　　　　　　　　　　</v>
      </c>
      <c r="L5089" s="1"/>
    </row>
    <row r="5090" spans="1:12" ht="18" customHeight="1" x14ac:dyDescent="0.15">
      <c r="A5090" s="1">
        <v>39</v>
      </c>
      <c r="B5090" s="1" t="s">
        <v>68</v>
      </c>
      <c r="C5090" s="1" t="s">
        <v>69</v>
      </c>
      <c r="D5090" s="1">
        <v>1</v>
      </c>
      <c r="E5090" s="1" t="s">
        <v>21</v>
      </c>
      <c r="F5090" s="2">
        <v>275945</v>
      </c>
      <c r="G5090" s="2" t="s">
        <v>667</v>
      </c>
      <c r="H5090" s="1" t="str">
        <f>"平成19年3月28日"</f>
        <v>平成19年3月28日</v>
      </c>
      <c r="I5090" s="22">
        <f t="shared" si="169"/>
        <v>39169</v>
      </c>
      <c r="J5090" s="1" t="str">
        <f>"00735824"</f>
        <v>00735824</v>
      </c>
      <c r="K5090" s="1" t="str">
        <f>"１　　　　　　　　　　　　　　　　　　　"</f>
        <v>１　　　　　　　　　　　　　　　　　　　</v>
      </c>
      <c r="L5090" s="1"/>
    </row>
    <row r="5091" spans="1:12" ht="18" customHeight="1" x14ac:dyDescent="0.15">
      <c r="A5091" s="1">
        <v>4801</v>
      </c>
      <c r="B5091" s="1" t="s">
        <v>456</v>
      </c>
      <c r="C5091" s="1" t="s">
        <v>462</v>
      </c>
      <c r="D5091" s="1">
        <v>1</v>
      </c>
      <c r="E5091" s="1" t="s">
        <v>4</v>
      </c>
      <c r="F5091" s="2">
        <v>292950</v>
      </c>
      <c r="G5091" s="38" t="s">
        <v>674</v>
      </c>
      <c r="H5091" s="1" t="str">
        <f>"平成20年2月15日"</f>
        <v>平成20年2月15日</v>
      </c>
      <c r="I5091" s="22">
        <f t="shared" si="169"/>
        <v>39493</v>
      </c>
      <c r="J5091" s="1" t="str">
        <f>"00746585"</f>
        <v>00746585</v>
      </c>
      <c r="K5091" s="1" t="str">
        <f>"３５５　　　　　　　　　　　　　　　　　"</f>
        <v>３５５　　　　　　　　　　　　　　　　　</v>
      </c>
      <c r="L5091" s="1"/>
    </row>
    <row r="5092" spans="1:12" ht="18" customHeight="1" x14ac:dyDescent="0.15">
      <c r="A5092" s="1">
        <v>50</v>
      </c>
      <c r="B5092" s="1" t="s">
        <v>83</v>
      </c>
      <c r="C5092" s="1" t="s">
        <v>85</v>
      </c>
      <c r="D5092" s="1">
        <v>1</v>
      </c>
      <c r="E5092" s="1" t="s">
        <v>4</v>
      </c>
      <c r="F5092" s="2">
        <v>724500</v>
      </c>
      <c r="G5092" s="2" t="s">
        <v>667</v>
      </c>
      <c r="H5092" s="1" t="str">
        <f>"平成20年3月24日"</f>
        <v>平成20年3月24日</v>
      </c>
      <c r="I5092" s="22">
        <f t="shared" si="169"/>
        <v>39531</v>
      </c>
      <c r="J5092" s="1" t="str">
        <f>"00735958"</f>
        <v>00735958</v>
      </c>
      <c r="K5092" s="1" t="str">
        <f>"３０３　　　　　　　　　　　　　　　　　"</f>
        <v>３０３　　　　　　　　　　　　　　　　　</v>
      </c>
      <c r="L5092" s="1"/>
    </row>
    <row r="5093" spans="1:12" ht="18" customHeight="1" x14ac:dyDescent="0.15">
      <c r="A5093" s="1">
        <v>1158</v>
      </c>
      <c r="B5093" s="1" t="s">
        <v>28</v>
      </c>
      <c r="C5093" s="1" t="s">
        <v>150</v>
      </c>
      <c r="D5093" s="1">
        <v>1</v>
      </c>
      <c r="E5093" s="1" t="s">
        <v>4</v>
      </c>
      <c r="F5093" s="2">
        <v>34500</v>
      </c>
      <c r="G5093" s="2" t="s">
        <v>667</v>
      </c>
      <c r="H5093" s="1" t="str">
        <f t="shared" ref="H5093:H5156" si="170">"平成22年2月26日"</f>
        <v>平成22年2月26日</v>
      </c>
      <c r="I5093" s="22">
        <f t="shared" si="169"/>
        <v>40235</v>
      </c>
      <c r="J5093" s="1" t="str">
        <f>"00738703"</f>
        <v>00738703</v>
      </c>
      <c r="K5093" s="1" t="str">
        <f>"１７８４　　　　　　　　　　　　　　　　"</f>
        <v>１７８４　　　　　　　　　　　　　　　　</v>
      </c>
      <c r="L5093" s="1"/>
    </row>
    <row r="5094" spans="1:12" ht="18" customHeight="1" x14ac:dyDescent="0.15">
      <c r="A5094" s="1">
        <v>1159</v>
      </c>
      <c r="B5094" s="1" t="s">
        <v>28</v>
      </c>
      <c r="C5094" s="1" t="s">
        <v>150</v>
      </c>
      <c r="D5094" s="1">
        <v>1</v>
      </c>
      <c r="E5094" s="1" t="s">
        <v>4</v>
      </c>
      <c r="F5094" s="2">
        <v>34500</v>
      </c>
      <c r="G5094" s="2" t="s">
        <v>667</v>
      </c>
      <c r="H5094" s="1" t="str">
        <f t="shared" si="170"/>
        <v>平成22年2月26日</v>
      </c>
      <c r="I5094" s="22">
        <f t="shared" si="169"/>
        <v>40235</v>
      </c>
      <c r="J5094" s="1" t="str">
        <f>"00738705"</f>
        <v>00738705</v>
      </c>
      <c r="K5094" s="1" t="str">
        <f>"１７８５　　　　　　　　　　　　　　　　"</f>
        <v>１７８５　　　　　　　　　　　　　　　　</v>
      </c>
      <c r="L5094" s="1"/>
    </row>
    <row r="5095" spans="1:12" ht="18" customHeight="1" x14ac:dyDescent="0.15">
      <c r="A5095" s="1">
        <v>1160</v>
      </c>
      <c r="B5095" s="1" t="s">
        <v>28</v>
      </c>
      <c r="C5095" s="1" t="s">
        <v>150</v>
      </c>
      <c r="D5095" s="1">
        <v>1</v>
      </c>
      <c r="E5095" s="1" t="s">
        <v>4</v>
      </c>
      <c r="F5095" s="2">
        <v>34500</v>
      </c>
      <c r="G5095" s="2" t="s">
        <v>667</v>
      </c>
      <c r="H5095" s="1" t="str">
        <f t="shared" si="170"/>
        <v>平成22年2月26日</v>
      </c>
      <c r="I5095" s="22">
        <f t="shared" si="169"/>
        <v>40235</v>
      </c>
      <c r="J5095" s="1" t="str">
        <f>"00738707"</f>
        <v>00738707</v>
      </c>
      <c r="K5095" s="1" t="str">
        <f>"１７８６　　　　　　　　　　　　　　　　"</f>
        <v>１７８６　　　　　　　　　　　　　　　　</v>
      </c>
      <c r="L5095" s="1"/>
    </row>
    <row r="5096" spans="1:12" ht="18" customHeight="1" x14ac:dyDescent="0.15">
      <c r="A5096" s="1">
        <v>1161</v>
      </c>
      <c r="B5096" s="1" t="s">
        <v>28</v>
      </c>
      <c r="C5096" s="1" t="s">
        <v>150</v>
      </c>
      <c r="D5096" s="1">
        <v>1</v>
      </c>
      <c r="E5096" s="1" t="s">
        <v>4</v>
      </c>
      <c r="F5096" s="2">
        <v>34500</v>
      </c>
      <c r="G5096" s="2" t="s">
        <v>667</v>
      </c>
      <c r="H5096" s="1" t="str">
        <f t="shared" si="170"/>
        <v>平成22年2月26日</v>
      </c>
      <c r="I5096" s="22">
        <f t="shared" si="169"/>
        <v>40235</v>
      </c>
      <c r="J5096" s="1" t="str">
        <f>"00738709"</f>
        <v>00738709</v>
      </c>
      <c r="K5096" s="1" t="str">
        <f>"１７８７　　　　　　　　　　　　　　　　"</f>
        <v>１７８７　　　　　　　　　　　　　　　　</v>
      </c>
      <c r="L5096" s="1"/>
    </row>
    <row r="5097" spans="1:12" ht="18" customHeight="1" x14ac:dyDescent="0.15">
      <c r="A5097" s="1">
        <v>1162</v>
      </c>
      <c r="B5097" s="1" t="s">
        <v>28</v>
      </c>
      <c r="C5097" s="1" t="s">
        <v>150</v>
      </c>
      <c r="D5097" s="1">
        <v>1</v>
      </c>
      <c r="E5097" s="1" t="s">
        <v>4</v>
      </c>
      <c r="F5097" s="2">
        <v>34500</v>
      </c>
      <c r="G5097" s="2" t="s">
        <v>667</v>
      </c>
      <c r="H5097" s="1" t="str">
        <f t="shared" si="170"/>
        <v>平成22年2月26日</v>
      </c>
      <c r="I5097" s="22">
        <f t="shared" si="169"/>
        <v>40235</v>
      </c>
      <c r="J5097" s="1" t="str">
        <f>"00738711"</f>
        <v>00738711</v>
      </c>
      <c r="K5097" s="1" t="str">
        <f>"１７８８　　　　　　　　　　　　　　　　"</f>
        <v>１７８８　　　　　　　　　　　　　　　　</v>
      </c>
      <c r="L5097" s="1"/>
    </row>
    <row r="5098" spans="1:12" ht="18" customHeight="1" x14ac:dyDescent="0.15">
      <c r="A5098" s="1">
        <v>1163</v>
      </c>
      <c r="B5098" s="1" t="s">
        <v>28</v>
      </c>
      <c r="C5098" s="1" t="s">
        <v>150</v>
      </c>
      <c r="D5098" s="1">
        <v>1</v>
      </c>
      <c r="E5098" s="1" t="s">
        <v>4</v>
      </c>
      <c r="F5098" s="2">
        <v>34500</v>
      </c>
      <c r="G5098" s="2" t="s">
        <v>667</v>
      </c>
      <c r="H5098" s="1" t="str">
        <f t="shared" si="170"/>
        <v>平成22年2月26日</v>
      </c>
      <c r="I5098" s="22">
        <f t="shared" si="169"/>
        <v>40235</v>
      </c>
      <c r="J5098" s="1" t="str">
        <f>"00738713"</f>
        <v>00738713</v>
      </c>
      <c r="K5098" s="1" t="str">
        <f>"１７８９　　　　　　　　　　　　　　　　"</f>
        <v>１７８９　　　　　　　　　　　　　　　　</v>
      </c>
      <c r="L5098" s="1"/>
    </row>
    <row r="5099" spans="1:12" ht="18" customHeight="1" x14ac:dyDescent="0.15">
      <c r="A5099" s="1">
        <v>1164</v>
      </c>
      <c r="B5099" s="1" t="s">
        <v>28</v>
      </c>
      <c r="C5099" s="1" t="s">
        <v>150</v>
      </c>
      <c r="D5099" s="1">
        <v>1</v>
      </c>
      <c r="E5099" s="1" t="s">
        <v>4</v>
      </c>
      <c r="F5099" s="2">
        <v>34500</v>
      </c>
      <c r="G5099" s="2" t="s">
        <v>667</v>
      </c>
      <c r="H5099" s="1" t="str">
        <f t="shared" si="170"/>
        <v>平成22年2月26日</v>
      </c>
      <c r="I5099" s="22">
        <f t="shared" si="169"/>
        <v>40235</v>
      </c>
      <c r="J5099" s="1" t="str">
        <f>"00738715"</f>
        <v>00738715</v>
      </c>
      <c r="K5099" s="1" t="str">
        <f>"１７９０　　　　　　　　　　　　　　　　"</f>
        <v>１７９０　　　　　　　　　　　　　　　　</v>
      </c>
      <c r="L5099" s="1"/>
    </row>
    <row r="5100" spans="1:12" ht="18" customHeight="1" x14ac:dyDescent="0.15">
      <c r="A5100" s="1">
        <v>1165</v>
      </c>
      <c r="B5100" s="1" t="s">
        <v>28</v>
      </c>
      <c r="C5100" s="1" t="s">
        <v>150</v>
      </c>
      <c r="D5100" s="1">
        <v>1</v>
      </c>
      <c r="E5100" s="1" t="s">
        <v>4</v>
      </c>
      <c r="F5100" s="2">
        <v>34500</v>
      </c>
      <c r="G5100" s="2" t="s">
        <v>667</v>
      </c>
      <c r="H5100" s="1" t="str">
        <f t="shared" si="170"/>
        <v>平成22年2月26日</v>
      </c>
      <c r="I5100" s="22">
        <f t="shared" si="169"/>
        <v>40235</v>
      </c>
      <c r="J5100" s="1" t="str">
        <f>"00738717"</f>
        <v>00738717</v>
      </c>
      <c r="K5100" s="1" t="str">
        <f>"１７９１　　　　　　　　　　　　　　　　"</f>
        <v>１７９１　　　　　　　　　　　　　　　　</v>
      </c>
      <c r="L5100" s="1"/>
    </row>
    <row r="5101" spans="1:12" ht="18" customHeight="1" x14ac:dyDescent="0.15">
      <c r="A5101" s="1">
        <v>1166</v>
      </c>
      <c r="B5101" s="1" t="s">
        <v>28</v>
      </c>
      <c r="C5101" s="1" t="s">
        <v>150</v>
      </c>
      <c r="D5101" s="1">
        <v>1</v>
      </c>
      <c r="E5101" s="1" t="s">
        <v>4</v>
      </c>
      <c r="F5101" s="2">
        <v>34500</v>
      </c>
      <c r="G5101" s="2" t="s">
        <v>667</v>
      </c>
      <c r="H5101" s="1" t="str">
        <f t="shared" si="170"/>
        <v>平成22年2月26日</v>
      </c>
      <c r="I5101" s="22">
        <f t="shared" si="169"/>
        <v>40235</v>
      </c>
      <c r="J5101" s="1" t="str">
        <f>"00738719"</f>
        <v>00738719</v>
      </c>
      <c r="K5101" s="1" t="str">
        <f>"１７９２　　　　　　　　　　　　　　　　"</f>
        <v>１７９２　　　　　　　　　　　　　　　　</v>
      </c>
      <c r="L5101" s="1"/>
    </row>
    <row r="5102" spans="1:12" ht="18" customHeight="1" x14ac:dyDescent="0.15">
      <c r="A5102" s="1">
        <v>1167</v>
      </c>
      <c r="B5102" s="1" t="s">
        <v>28</v>
      </c>
      <c r="C5102" s="1" t="s">
        <v>150</v>
      </c>
      <c r="D5102" s="1">
        <v>1</v>
      </c>
      <c r="E5102" s="1" t="s">
        <v>4</v>
      </c>
      <c r="F5102" s="2">
        <v>34500</v>
      </c>
      <c r="G5102" s="2" t="s">
        <v>667</v>
      </c>
      <c r="H5102" s="1" t="str">
        <f t="shared" si="170"/>
        <v>平成22年2月26日</v>
      </c>
      <c r="I5102" s="22">
        <f t="shared" si="169"/>
        <v>40235</v>
      </c>
      <c r="J5102" s="1" t="str">
        <f>"00738721"</f>
        <v>00738721</v>
      </c>
      <c r="K5102" s="1" t="str">
        <f>"１７９３　　　　　　　　　　　　　　　　"</f>
        <v>１７９３　　　　　　　　　　　　　　　　</v>
      </c>
      <c r="L5102" s="1"/>
    </row>
    <row r="5103" spans="1:12" ht="18" customHeight="1" x14ac:dyDescent="0.15">
      <c r="A5103" s="1">
        <v>1168</v>
      </c>
      <c r="B5103" s="1" t="s">
        <v>28</v>
      </c>
      <c r="C5103" s="1" t="s">
        <v>150</v>
      </c>
      <c r="D5103" s="1">
        <v>1</v>
      </c>
      <c r="E5103" s="1" t="s">
        <v>4</v>
      </c>
      <c r="F5103" s="2">
        <v>34500</v>
      </c>
      <c r="G5103" s="2" t="s">
        <v>667</v>
      </c>
      <c r="H5103" s="1" t="str">
        <f t="shared" si="170"/>
        <v>平成22年2月26日</v>
      </c>
      <c r="I5103" s="22">
        <f t="shared" si="169"/>
        <v>40235</v>
      </c>
      <c r="J5103" s="1" t="str">
        <f>"00738723"</f>
        <v>00738723</v>
      </c>
      <c r="K5103" s="1" t="str">
        <f>"１７９４　　　　　　　　　　　　　　　　"</f>
        <v>１７９４　　　　　　　　　　　　　　　　</v>
      </c>
      <c r="L5103" s="1"/>
    </row>
    <row r="5104" spans="1:12" ht="18" customHeight="1" x14ac:dyDescent="0.15">
      <c r="A5104" s="1">
        <v>1169</v>
      </c>
      <c r="B5104" s="1" t="s">
        <v>28</v>
      </c>
      <c r="C5104" s="1" t="s">
        <v>150</v>
      </c>
      <c r="D5104" s="1">
        <v>1</v>
      </c>
      <c r="E5104" s="1" t="s">
        <v>4</v>
      </c>
      <c r="F5104" s="2">
        <v>34500</v>
      </c>
      <c r="G5104" s="2" t="s">
        <v>667</v>
      </c>
      <c r="H5104" s="1" t="str">
        <f t="shared" si="170"/>
        <v>平成22年2月26日</v>
      </c>
      <c r="I5104" s="22">
        <f t="shared" si="169"/>
        <v>40235</v>
      </c>
      <c r="J5104" s="1" t="str">
        <f>"00738725"</f>
        <v>00738725</v>
      </c>
      <c r="K5104" s="1" t="str">
        <f>"１７９５　　　　　　　　　　　　　　　　"</f>
        <v>１７９５　　　　　　　　　　　　　　　　</v>
      </c>
      <c r="L5104" s="1"/>
    </row>
    <row r="5105" spans="1:12" ht="18" customHeight="1" x14ac:dyDescent="0.15">
      <c r="A5105" s="1">
        <v>1170</v>
      </c>
      <c r="B5105" s="1" t="s">
        <v>28</v>
      </c>
      <c r="C5105" s="1" t="s">
        <v>150</v>
      </c>
      <c r="D5105" s="1">
        <v>1</v>
      </c>
      <c r="E5105" s="1" t="s">
        <v>4</v>
      </c>
      <c r="F5105" s="2">
        <v>34500</v>
      </c>
      <c r="G5105" s="2" t="s">
        <v>667</v>
      </c>
      <c r="H5105" s="1" t="str">
        <f t="shared" si="170"/>
        <v>平成22年2月26日</v>
      </c>
      <c r="I5105" s="22">
        <f t="shared" si="169"/>
        <v>40235</v>
      </c>
      <c r="J5105" s="1" t="str">
        <f>"00738727"</f>
        <v>00738727</v>
      </c>
      <c r="K5105" s="1" t="str">
        <f>"１７９６　　　　　　　　　　　　　　　　"</f>
        <v>１７９６　　　　　　　　　　　　　　　　</v>
      </c>
      <c r="L5105" s="1"/>
    </row>
    <row r="5106" spans="1:12" ht="18" customHeight="1" x14ac:dyDescent="0.15">
      <c r="A5106" s="1">
        <v>1171</v>
      </c>
      <c r="B5106" s="1" t="s">
        <v>28</v>
      </c>
      <c r="C5106" s="1" t="s">
        <v>150</v>
      </c>
      <c r="D5106" s="1">
        <v>1</v>
      </c>
      <c r="E5106" s="1" t="s">
        <v>4</v>
      </c>
      <c r="F5106" s="2">
        <v>34500</v>
      </c>
      <c r="G5106" s="2" t="s">
        <v>667</v>
      </c>
      <c r="H5106" s="1" t="str">
        <f t="shared" si="170"/>
        <v>平成22年2月26日</v>
      </c>
      <c r="I5106" s="22">
        <f t="shared" si="169"/>
        <v>40235</v>
      </c>
      <c r="J5106" s="1" t="str">
        <f>"00738729"</f>
        <v>00738729</v>
      </c>
      <c r="K5106" s="1" t="str">
        <f>"１７９７　　　　　　　　　　　　　　　　"</f>
        <v>１７９７　　　　　　　　　　　　　　　　</v>
      </c>
      <c r="L5106" s="1"/>
    </row>
    <row r="5107" spans="1:12" ht="18" customHeight="1" x14ac:dyDescent="0.15">
      <c r="A5107" s="1">
        <v>1172</v>
      </c>
      <c r="B5107" s="1" t="s">
        <v>28</v>
      </c>
      <c r="C5107" s="1" t="s">
        <v>150</v>
      </c>
      <c r="D5107" s="1">
        <v>1</v>
      </c>
      <c r="E5107" s="1" t="s">
        <v>4</v>
      </c>
      <c r="F5107" s="2">
        <v>34500</v>
      </c>
      <c r="G5107" s="2" t="s">
        <v>667</v>
      </c>
      <c r="H5107" s="1" t="str">
        <f t="shared" si="170"/>
        <v>平成22年2月26日</v>
      </c>
      <c r="I5107" s="22">
        <f t="shared" si="169"/>
        <v>40235</v>
      </c>
      <c r="J5107" s="1" t="str">
        <f>"00738731"</f>
        <v>00738731</v>
      </c>
      <c r="K5107" s="1" t="str">
        <f>"１７９８　　　　　　　　　　　　　　　　"</f>
        <v>１７９８　　　　　　　　　　　　　　　　</v>
      </c>
      <c r="L5107" s="1"/>
    </row>
    <row r="5108" spans="1:12" ht="18" customHeight="1" x14ac:dyDescent="0.15">
      <c r="A5108" s="1">
        <v>1173</v>
      </c>
      <c r="B5108" s="1" t="s">
        <v>28</v>
      </c>
      <c r="C5108" s="1" t="s">
        <v>150</v>
      </c>
      <c r="D5108" s="1">
        <v>1</v>
      </c>
      <c r="E5108" s="1" t="s">
        <v>4</v>
      </c>
      <c r="F5108" s="2">
        <v>34500</v>
      </c>
      <c r="G5108" s="2" t="s">
        <v>667</v>
      </c>
      <c r="H5108" s="1" t="str">
        <f t="shared" si="170"/>
        <v>平成22年2月26日</v>
      </c>
      <c r="I5108" s="22">
        <f t="shared" si="169"/>
        <v>40235</v>
      </c>
      <c r="J5108" s="1" t="str">
        <f>"00738733"</f>
        <v>00738733</v>
      </c>
      <c r="K5108" s="1" t="str">
        <f>"１７９９　　　　　　　　　　　　　　　　"</f>
        <v>１７９９　　　　　　　　　　　　　　　　</v>
      </c>
      <c r="L5108" s="1"/>
    </row>
    <row r="5109" spans="1:12" ht="18" customHeight="1" x14ac:dyDescent="0.15">
      <c r="A5109" s="1">
        <v>1174</v>
      </c>
      <c r="B5109" s="1" t="s">
        <v>28</v>
      </c>
      <c r="C5109" s="1" t="s">
        <v>150</v>
      </c>
      <c r="D5109" s="1">
        <v>1</v>
      </c>
      <c r="E5109" s="1" t="s">
        <v>4</v>
      </c>
      <c r="F5109" s="2">
        <v>34500</v>
      </c>
      <c r="G5109" s="2" t="s">
        <v>667</v>
      </c>
      <c r="H5109" s="1" t="str">
        <f t="shared" si="170"/>
        <v>平成22年2月26日</v>
      </c>
      <c r="I5109" s="22">
        <f t="shared" si="169"/>
        <v>40235</v>
      </c>
      <c r="J5109" s="1" t="str">
        <f>"00738735"</f>
        <v>00738735</v>
      </c>
      <c r="K5109" s="1" t="str">
        <f>"１８００　　　　　　　　　　　　　　　　"</f>
        <v>１８００　　　　　　　　　　　　　　　　</v>
      </c>
      <c r="L5109" s="1"/>
    </row>
    <row r="5110" spans="1:12" ht="18" customHeight="1" x14ac:dyDescent="0.15">
      <c r="A5110" s="1">
        <v>1175</v>
      </c>
      <c r="B5110" s="1" t="s">
        <v>28</v>
      </c>
      <c r="C5110" s="1" t="s">
        <v>150</v>
      </c>
      <c r="D5110" s="1">
        <v>1</v>
      </c>
      <c r="E5110" s="1" t="s">
        <v>4</v>
      </c>
      <c r="F5110" s="2">
        <v>34500</v>
      </c>
      <c r="G5110" s="2" t="s">
        <v>667</v>
      </c>
      <c r="H5110" s="1" t="str">
        <f t="shared" si="170"/>
        <v>平成22年2月26日</v>
      </c>
      <c r="I5110" s="22">
        <f t="shared" si="169"/>
        <v>40235</v>
      </c>
      <c r="J5110" s="1" t="str">
        <f>"00738737"</f>
        <v>00738737</v>
      </c>
      <c r="K5110" s="1" t="str">
        <f>"１８０１　　　　　　　　　　　　　　　　"</f>
        <v>１８０１　　　　　　　　　　　　　　　　</v>
      </c>
      <c r="L5110" s="1"/>
    </row>
    <row r="5111" spans="1:12" ht="18" customHeight="1" x14ac:dyDescent="0.15">
      <c r="A5111" s="1">
        <v>1176</v>
      </c>
      <c r="B5111" s="1" t="s">
        <v>28</v>
      </c>
      <c r="C5111" s="1" t="s">
        <v>150</v>
      </c>
      <c r="D5111" s="1">
        <v>1</v>
      </c>
      <c r="E5111" s="1" t="s">
        <v>4</v>
      </c>
      <c r="F5111" s="2">
        <v>34500</v>
      </c>
      <c r="G5111" s="2" t="s">
        <v>667</v>
      </c>
      <c r="H5111" s="1" t="str">
        <f t="shared" si="170"/>
        <v>平成22年2月26日</v>
      </c>
      <c r="I5111" s="22">
        <f t="shared" si="169"/>
        <v>40235</v>
      </c>
      <c r="J5111" s="1" t="str">
        <f>"00738739"</f>
        <v>00738739</v>
      </c>
      <c r="K5111" s="1" t="str">
        <f>"１８０２　　　　　　　　　　　　　　　　"</f>
        <v>１８０２　　　　　　　　　　　　　　　　</v>
      </c>
      <c r="L5111" s="1"/>
    </row>
    <row r="5112" spans="1:12" ht="18" customHeight="1" x14ac:dyDescent="0.15">
      <c r="A5112" s="1">
        <v>1177</v>
      </c>
      <c r="B5112" s="1" t="s">
        <v>28</v>
      </c>
      <c r="C5112" s="1" t="s">
        <v>150</v>
      </c>
      <c r="D5112" s="1">
        <v>1</v>
      </c>
      <c r="E5112" s="1" t="s">
        <v>4</v>
      </c>
      <c r="F5112" s="2">
        <v>34500</v>
      </c>
      <c r="G5112" s="2" t="s">
        <v>667</v>
      </c>
      <c r="H5112" s="1" t="str">
        <f t="shared" si="170"/>
        <v>平成22年2月26日</v>
      </c>
      <c r="I5112" s="22">
        <f t="shared" si="169"/>
        <v>40235</v>
      </c>
      <c r="J5112" s="1" t="str">
        <f>"00738741"</f>
        <v>00738741</v>
      </c>
      <c r="K5112" s="1" t="str">
        <f>"１８０３　　　　　　　　　　　　　　　　"</f>
        <v>１８０３　　　　　　　　　　　　　　　　</v>
      </c>
      <c r="L5112" s="1"/>
    </row>
    <row r="5113" spans="1:12" ht="18" customHeight="1" x14ac:dyDescent="0.15">
      <c r="A5113" s="1">
        <v>1178</v>
      </c>
      <c r="B5113" s="1" t="s">
        <v>28</v>
      </c>
      <c r="C5113" s="1" t="s">
        <v>150</v>
      </c>
      <c r="D5113" s="1">
        <v>1</v>
      </c>
      <c r="E5113" s="1" t="s">
        <v>4</v>
      </c>
      <c r="F5113" s="2">
        <v>34500</v>
      </c>
      <c r="G5113" s="2" t="s">
        <v>667</v>
      </c>
      <c r="H5113" s="1" t="str">
        <f t="shared" si="170"/>
        <v>平成22年2月26日</v>
      </c>
      <c r="I5113" s="22">
        <f t="shared" si="169"/>
        <v>40235</v>
      </c>
      <c r="J5113" s="1" t="str">
        <f>"00738742"</f>
        <v>00738742</v>
      </c>
      <c r="K5113" s="1" t="str">
        <f>"１８０４　　　　　　　　　　　　　　　　"</f>
        <v>１８０４　　　　　　　　　　　　　　　　</v>
      </c>
      <c r="L5113" s="1"/>
    </row>
    <row r="5114" spans="1:12" ht="18" customHeight="1" x14ac:dyDescent="0.15">
      <c r="A5114" s="1">
        <v>1179</v>
      </c>
      <c r="B5114" s="1" t="s">
        <v>28</v>
      </c>
      <c r="C5114" s="1" t="s">
        <v>150</v>
      </c>
      <c r="D5114" s="1">
        <v>1</v>
      </c>
      <c r="E5114" s="1" t="s">
        <v>4</v>
      </c>
      <c r="F5114" s="2">
        <v>34500</v>
      </c>
      <c r="G5114" s="2" t="s">
        <v>667</v>
      </c>
      <c r="H5114" s="1" t="str">
        <f t="shared" si="170"/>
        <v>平成22年2月26日</v>
      </c>
      <c r="I5114" s="22">
        <f t="shared" si="169"/>
        <v>40235</v>
      </c>
      <c r="J5114" s="1" t="str">
        <f>"00738744"</f>
        <v>00738744</v>
      </c>
      <c r="K5114" s="1" t="str">
        <f>"１８０５　　　　　　　　　　　　　　　　"</f>
        <v>１８０５　　　　　　　　　　　　　　　　</v>
      </c>
      <c r="L5114" s="1"/>
    </row>
    <row r="5115" spans="1:12" ht="18" customHeight="1" x14ac:dyDescent="0.15">
      <c r="A5115" s="1">
        <v>1180</v>
      </c>
      <c r="B5115" s="1" t="s">
        <v>28</v>
      </c>
      <c r="C5115" s="1" t="s">
        <v>150</v>
      </c>
      <c r="D5115" s="1">
        <v>1</v>
      </c>
      <c r="E5115" s="1" t="s">
        <v>4</v>
      </c>
      <c r="F5115" s="2">
        <v>34500</v>
      </c>
      <c r="G5115" s="2" t="s">
        <v>667</v>
      </c>
      <c r="H5115" s="1" t="str">
        <f t="shared" si="170"/>
        <v>平成22年2月26日</v>
      </c>
      <c r="I5115" s="22">
        <f t="shared" si="169"/>
        <v>40235</v>
      </c>
      <c r="J5115" s="1" t="str">
        <f>"00738747"</f>
        <v>00738747</v>
      </c>
      <c r="K5115" s="1" t="str">
        <f>"１８０６　　　　　　　　　　　　　　　　"</f>
        <v>１８０６　　　　　　　　　　　　　　　　</v>
      </c>
      <c r="L5115" s="1"/>
    </row>
    <row r="5116" spans="1:12" ht="18" customHeight="1" x14ac:dyDescent="0.15">
      <c r="A5116" s="1">
        <v>1181</v>
      </c>
      <c r="B5116" s="1" t="s">
        <v>28</v>
      </c>
      <c r="C5116" s="1" t="s">
        <v>150</v>
      </c>
      <c r="D5116" s="1">
        <v>1</v>
      </c>
      <c r="E5116" s="1" t="s">
        <v>4</v>
      </c>
      <c r="F5116" s="2">
        <v>34500</v>
      </c>
      <c r="G5116" s="2" t="s">
        <v>667</v>
      </c>
      <c r="H5116" s="1" t="str">
        <f t="shared" si="170"/>
        <v>平成22年2月26日</v>
      </c>
      <c r="I5116" s="22">
        <f t="shared" si="169"/>
        <v>40235</v>
      </c>
      <c r="J5116" s="1" t="str">
        <f>"00738749"</f>
        <v>00738749</v>
      </c>
      <c r="K5116" s="1" t="str">
        <f>"１８０７　　　　　　　　　　　　　　　　"</f>
        <v>１８０７　　　　　　　　　　　　　　　　</v>
      </c>
      <c r="L5116" s="1"/>
    </row>
    <row r="5117" spans="1:12" ht="18" customHeight="1" x14ac:dyDescent="0.15">
      <c r="A5117" s="1">
        <v>1182</v>
      </c>
      <c r="B5117" s="1" t="s">
        <v>28</v>
      </c>
      <c r="C5117" s="1" t="s">
        <v>150</v>
      </c>
      <c r="D5117" s="1">
        <v>1</v>
      </c>
      <c r="E5117" s="1" t="s">
        <v>4</v>
      </c>
      <c r="F5117" s="2">
        <v>34500</v>
      </c>
      <c r="G5117" s="2" t="s">
        <v>667</v>
      </c>
      <c r="H5117" s="1" t="str">
        <f t="shared" si="170"/>
        <v>平成22年2月26日</v>
      </c>
      <c r="I5117" s="22">
        <f t="shared" si="169"/>
        <v>40235</v>
      </c>
      <c r="J5117" s="1" t="str">
        <f>"00738751"</f>
        <v>00738751</v>
      </c>
      <c r="K5117" s="1" t="str">
        <f>"１８０８　　　　　　　　　　　　　　　　"</f>
        <v>１８０８　　　　　　　　　　　　　　　　</v>
      </c>
      <c r="L5117" s="1"/>
    </row>
    <row r="5118" spans="1:12" ht="18" customHeight="1" x14ac:dyDescent="0.15">
      <c r="A5118" s="1">
        <v>1183</v>
      </c>
      <c r="B5118" s="1" t="s">
        <v>28</v>
      </c>
      <c r="C5118" s="1" t="s">
        <v>150</v>
      </c>
      <c r="D5118" s="1">
        <v>1</v>
      </c>
      <c r="E5118" s="1" t="s">
        <v>4</v>
      </c>
      <c r="F5118" s="2">
        <v>34500</v>
      </c>
      <c r="G5118" s="2" t="s">
        <v>667</v>
      </c>
      <c r="H5118" s="1" t="str">
        <f t="shared" si="170"/>
        <v>平成22年2月26日</v>
      </c>
      <c r="I5118" s="22">
        <f t="shared" si="169"/>
        <v>40235</v>
      </c>
      <c r="J5118" s="1" t="str">
        <f>"00738753"</f>
        <v>00738753</v>
      </c>
      <c r="K5118" s="1" t="str">
        <f>"１８０９　　　　　　　　　　　　　　　　"</f>
        <v>１８０９　　　　　　　　　　　　　　　　</v>
      </c>
      <c r="L5118" s="1"/>
    </row>
    <row r="5119" spans="1:12" ht="18" customHeight="1" x14ac:dyDescent="0.15">
      <c r="A5119" s="1">
        <v>1184</v>
      </c>
      <c r="B5119" s="1" t="s">
        <v>28</v>
      </c>
      <c r="C5119" s="1" t="s">
        <v>150</v>
      </c>
      <c r="D5119" s="1">
        <v>1</v>
      </c>
      <c r="E5119" s="1" t="s">
        <v>4</v>
      </c>
      <c r="F5119" s="2">
        <v>34500</v>
      </c>
      <c r="G5119" s="2" t="s">
        <v>667</v>
      </c>
      <c r="H5119" s="1" t="str">
        <f t="shared" si="170"/>
        <v>平成22年2月26日</v>
      </c>
      <c r="I5119" s="22">
        <f t="shared" si="169"/>
        <v>40235</v>
      </c>
      <c r="J5119" s="1" t="str">
        <f>"00738755"</f>
        <v>00738755</v>
      </c>
      <c r="K5119" s="1" t="str">
        <f>"１８１０　　　　　　　　　　　　　　　　"</f>
        <v>１８１０　　　　　　　　　　　　　　　　</v>
      </c>
      <c r="L5119" s="1"/>
    </row>
    <row r="5120" spans="1:12" ht="18" customHeight="1" x14ac:dyDescent="0.15">
      <c r="A5120" s="1">
        <v>1185</v>
      </c>
      <c r="B5120" s="1" t="s">
        <v>28</v>
      </c>
      <c r="C5120" s="1" t="s">
        <v>150</v>
      </c>
      <c r="D5120" s="1">
        <v>1</v>
      </c>
      <c r="E5120" s="1" t="s">
        <v>4</v>
      </c>
      <c r="F5120" s="2">
        <v>34500</v>
      </c>
      <c r="G5120" s="2" t="s">
        <v>667</v>
      </c>
      <c r="H5120" s="1" t="str">
        <f t="shared" si="170"/>
        <v>平成22年2月26日</v>
      </c>
      <c r="I5120" s="22">
        <f t="shared" si="169"/>
        <v>40235</v>
      </c>
      <c r="J5120" s="1" t="str">
        <f>"00738757"</f>
        <v>00738757</v>
      </c>
      <c r="K5120" s="1" t="str">
        <f>"１８１１　　　　　　　　　　　　　　　　"</f>
        <v>１８１１　　　　　　　　　　　　　　　　</v>
      </c>
      <c r="L5120" s="1"/>
    </row>
    <row r="5121" spans="1:12" ht="18" customHeight="1" x14ac:dyDescent="0.15">
      <c r="A5121" s="1">
        <v>1186</v>
      </c>
      <c r="B5121" s="1" t="s">
        <v>28</v>
      </c>
      <c r="C5121" s="1" t="s">
        <v>150</v>
      </c>
      <c r="D5121" s="1">
        <v>1</v>
      </c>
      <c r="E5121" s="1" t="s">
        <v>4</v>
      </c>
      <c r="F5121" s="2">
        <v>34500</v>
      </c>
      <c r="G5121" s="2" t="s">
        <v>667</v>
      </c>
      <c r="H5121" s="1" t="str">
        <f t="shared" si="170"/>
        <v>平成22年2月26日</v>
      </c>
      <c r="I5121" s="22">
        <f t="shared" si="169"/>
        <v>40235</v>
      </c>
      <c r="J5121" s="1" t="str">
        <f>"00738759"</f>
        <v>00738759</v>
      </c>
      <c r="K5121" s="1" t="str">
        <f>"１８１２　　　　　　　　　　　　　　　　"</f>
        <v>１８１２　　　　　　　　　　　　　　　　</v>
      </c>
      <c r="L5121" s="1"/>
    </row>
    <row r="5122" spans="1:12" ht="18" customHeight="1" x14ac:dyDescent="0.15">
      <c r="A5122" s="1">
        <v>1187</v>
      </c>
      <c r="B5122" s="1" t="s">
        <v>28</v>
      </c>
      <c r="C5122" s="1" t="s">
        <v>150</v>
      </c>
      <c r="D5122" s="1">
        <v>1</v>
      </c>
      <c r="E5122" s="1" t="s">
        <v>4</v>
      </c>
      <c r="F5122" s="2">
        <v>34500</v>
      </c>
      <c r="G5122" s="2" t="s">
        <v>667</v>
      </c>
      <c r="H5122" s="1" t="str">
        <f t="shared" si="170"/>
        <v>平成22年2月26日</v>
      </c>
      <c r="I5122" s="22">
        <f t="shared" si="169"/>
        <v>40235</v>
      </c>
      <c r="J5122" s="1" t="str">
        <f>"00738761"</f>
        <v>00738761</v>
      </c>
      <c r="K5122" s="1" t="str">
        <f>"１８１３　　　　　　　　　　　　　　　　"</f>
        <v>１８１３　　　　　　　　　　　　　　　　</v>
      </c>
      <c r="L5122" s="1"/>
    </row>
    <row r="5123" spans="1:12" ht="18" customHeight="1" x14ac:dyDescent="0.15">
      <c r="A5123" s="1">
        <v>1188</v>
      </c>
      <c r="B5123" s="1" t="s">
        <v>28</v>
      </c>
      <c r="C5123" s="1" t="s">
        <v>151</v>
      </c>
      <c r="D5123" s="1">
        <v>1</v>
      </c>
      <c r="E5123" s="1" t="s">
        <v>4</v>
      </c>
      <c r="F5123" s="2">
        <v>20700</v>
      </c>
      <c r="G5123" s="2" t="s">
        <v>667</v>
      </c>
      <c r="H5123" s="1" t="str">
        <f t="shared" si="170"/>
        <v>平成22年2月26日</v>
      </c>
      <c r="I5123" s="22">
        <f t="shared" si="169"/>
        <v>40235</v>
      </c>
      <c r="J5123" s="1" t="str">
        <f>"00738763"</f>
        <v>00738763</v>
      </c>
      <c r="K5123" s="1" t="str">
        <f>"１８１４　　　　　　　　　　　　　　　　"</f>
        <v>１８１４　　　　　　　　　　　　　　　　</v>
      </c>
      <c r="L5123" s="1"/>
    </row>
    <row r="5124" spans="1:12" ht="18" customHeight="1" x14ac:dyDescent="0.15">
      <c r="A5124" s="1">
        <v>1189</v>
      </c>
      <c r="B5124" s="1" t="s">
        <v>28</v>
      </c>
      <c r="C5124" s="1" t="s">
        <v>151</v>
      </c>
      <c r="D5124" s="1">
        <v>1</v>
      </c>
      <c r="E5124" s="1" t="s">
        <v>4</v>
      </c>
      <c r="F5124" s="2">
        <v>20700</v>
      </c>
      <c r="G5124" s="2" t="s">
        <v>667</v>
      </c>
      <c r="H5124" s="1" t="str">
        <f t="shared" si="170"/>
        <v>平成22年2月26日</v>
      </c>
      <c r="I5124" s="22">
        <f t="shared" si="169"/>
        <v>40235</v>
      </c>
      <c r="J5124" s="1" t="str">
        <f>"00738765"</f>
        <v>00738765</v>
      </c>
      <c r="K5124" s="1" t="str">
        <f>"１８１５　　　　　　　　　　　　　　　　"</f>
        <v>１８１５　　　　　　　　　　　　　　　　</v>
      </c>
      <c r="L5124" s="1"/>
    </row>
    <row r="5125" spans="1:12" ht="18" customHeight="1" x14ac:dyDescent="0.15">
      <c r="A5125" s="1">
        <v>1190</v>
      </c>
      <c r="B5125" s="1" t="s">
        <v>28</v>
      </c>
      <c r="C5125" s="1" t="s">
        <v>151</v>
      </c>
      <c r="D5125" s="1">
        <v>1</v>
      </c>
      <c r="E5125" s="1" t="s">
        <v>4</v>
      </c>
      <c r="F5125" s="2">
        <v>20700</v>
      </c>
      <c r="G5125" s="2" t="s">
        <v>667</v>
      </c>
      <c r="H5125" s="1" t="str">
        <f t="shared" si="170"/>
        <v>平成22年2月26日</v>
      </c>
      <c r="I5125" s="22">
        <f t="shared" si="169"/>
        <v>40235</v>
      </c>
      <c r="J5125" s="1" t="str">
        <f>"00738767"</f>
        <v>00738767</v>
      </c>
      <c r="K5125" s="1" t="str">
        <f>"１８１６　　　　　　　　　　　　　　　　"</f>
        <v>１８１６　　　　　　　　　　　　　　　　</v>
      </c>
      <c r="L5125" s="1"/>
    </row>
    <row r="5126" spans="1:12" ht="18" customHeight="1" x14ac:dyDescent="0.15">
      <c r="A5126" s="1">
        <v>1191</v>
      </c>
      <c r="B5126" s="1" t="s">
        <v>28</v>
      </c>
      <c r="C5126" s="1" t="s">
        <v>151</v>
      </c>
      <c r="D5126" s="1">
        <v>1</v>
      </c>
      <c r="E5126" s="1" t="s">
        <v>4</v>
      </c>
      <c r="F5126" s="2">
        <v>20700</v>
      </c>
      <c r="G5126" s="2" t="s">
        <v>667</v>
      </c>
      <c r="H5126" s="1" t="str">
        <f t="shared" si="170"/>
        <v>平成22年2月26日</v>
      </c>
      <c r="I5126" s="22">
        <f t="shared" si="169"/>
        <v>40235</v>
      </c>
      <c r="J5126" s="1" t="str">
        <f>"00738769"</f>
        <v>00738769</v>
      </c>
      <c r="K5126" s="1" t="str">
        <f>"１８１７　　　　　　　　　　　　　　　　"</f>
        <v>１８１７　　　　　　　　　　　　　　　　</v>
      </c>
      <c r="L5126" s="1"/>
    </row>
    <row r="5127" spans="1:12" ht="18" customHeight="1" x14ac:dyDescent="0.15">
      <c r="A5127" s="1">
        <v>1192</v>
      </c>
      <c r="B5127" s="1" t="s">
        <v>28</v>
      </c>
      <c r="C5127" s="1" t="s">
        <v>151</v>
      </c>
      <c r="D5127" s="1">
        <v>1</v>
      </c>
      <c r="E5127" s="1" t="s">
        <v>4</v>
      </c>
      <c r="F5127" s="2">
        <v>20700</v>
      </c>
      <c r="G5127" s="2" t="s">
        <v>667</v>
      </c>
      <c r="H5127" s="1" t="str">
        <f t="shared" si="170"/>
        <v>平成22年2月26日</v>
      </c>
      <c r="I5127" s="22">
        <f t="shared" si="169"/>
        <v>40235</v>
      </c>
      <c r="J5127" s="1" t="str">
        <f>"00738771"</f>
        <v>00738771</v>
      </c>
      <c r="K5127" s="1" t="str">
        <f>"１８１８　　　　　　　　　　　　　　　　"</f>
        <v>１８１８　　　　　　　　　　　　　　　　</v>
      </c>
      <c r="L5127" s="1"/>
    </row>
    <row r="5128" spans="1:12" ht="18" customHeight="1" x14ac:dyDescent="0.15">
      <c r="A5128" s="1">
        <v>1193</v>
      </c>
      <c r="B5128" s="1" t="s">
        <v>28</v>
      </c>
      <c r="C5128" s="1" t="s">
        <v>151</v>
      </c>
      <c r="D5128" s="1">
        <v>1</v>
      </c>
      <c r="E5128" s="1" t="s">
        <v>4</v>
      </c>
      <c r="F5128" s="2">
        <v>20700</v>
      </c>
      <c r="G5128" s="2" t="s">
        <v>667</v>
      </c>
      <c r="H5128" s="1" t="str">
        <f t="shared" si="170"/>
        <v>平成22年2月26日</v>
      </c>
      <c r="I5128" s="22">
        <f t="shared" si="169"/>
        <v>40235</v>
      </c>
      <c r="J5128" s="1" t="str">
        <f>"00738773"</f>
        <v>00738773</v>
      </c>
      <c r="K5128" s="1" t="str">
        <f>"１８１９　　　　　　　　　　　　　　　　"</f>
        <v>１８１９　　　　　　　　　　　　　　　　</v>
      </c>
      <c r="L5128" s="1"/>
    </row>
    <row r="5129" spans="1:12" ht="18" customHeight="1" x14ac:dyDescent="0.15">
      <c r="A5129" s="1">
        <v>1194</v>
      </c>
      <c r="B5129" s="1" t="s">
        <v>28</v>
      </c>
      <c r="C5129" s="1" t="s">
        <v>151</v>
      </c>
      <c r="D5129" s="1">
        <v>1</v>
      </c>
      <c r="E5129" s="1" t="s">
        <v>4</v>
      </c>
      <c r="F5129" s="2">
        <v>20700</v>
      </c>
      <c r="G5129" s="2" t="s">
        <v>667</v>
      </c>
      <c r="H5129" s="1" t="str">
        <f t="shared" si="170"/>
        <v>平成22年2月26日</v>
      </c>
      <c r="I5129" s="22">
        <f t="shared" si="169"/>
        <v>40235</v>
      </c>
      <c r="J5129" s="1" t="str">
        <f>"00738775"</f>
        <v>00738775</v>
      </c>
      <c r="K5129" s="1" t="str">
        <f>"１８２０　　　　　　　　　　　　　　　　"</f>
        <v>１８２０　　　　　　　　　　　　　　　　</v>
      </c>
      <c r="L5129" s="1"/>
    </row>
    <row r="5130" spans="1:12" ht="18" customHeight="1" x14ac:dyDescent="0.15">
      <c r="A5130" s="1">
        <v>1195</v>
      </c>
      <c r="B5130" s="1" t="s">
        <v>28</v>
      </c>
      <c r="C5130" s="1" t="s">
        <v>151</v>
      </c>
      <c r="D5130" s="1">
        <v>1</v>
      </c>
      <c r="E5130" s="1" t="s">
        <v>4</v>
      </c>
      <c r="F5130" s="2">
        <v>20700</v>
      </c>
      <c r="G5130" s="2" t="s">
        <v>667</v>
      </c>
      <c r="H5130" s="1" t="str">
        <f t="shared" si="170"/>
        <v>平成22年2月26日</v>
      </c>
      <c r="I5130" s="22">
        <f t="shared" si="169"/>
        <v>40235</v>
      </c>
      <c r="J5130" s="1" t="str">
        <f>"00738777"</f>
        <v>00738777</v>
      </c>
      <c r="K5130" s="1" t="str">
        <f>"１８２１　　　　　　　　　　　　　　　　"</f>
        <v>１８２１　　　　　　　　　　　　　　　　</v>
      </c>
      <c r="L5130" s="1"/>
    </row>
    <row r="5131" spans="1:12" ht="18" customHeight="1" x14ac:dyDescent="0.15">
      <c r="A5131" s="1">
        <v>1196</v>
      </c>
      <c r="B5131" s="1" t="s">
        <v>28</v>
      </c>
      <c r="C5131" s="1" t="s">
        <v>151</v>
      </c>
      <c r="D5131" s="1">
        <v>1</v>
      </c>
      <c r="E5131" s="1" t="s">
        <v>4</v>
      </c>
      <c r="F5131" s="2">
        <v>20700</v>
      </c>
      <c r="G5131" s="2" t="s">
        <v>667</v>
      </c>
      <c r="H5131" s="1" t="str">
        <f t="shared" si="170"/>
        <v>平成22年2月26日</v>
      </c>
      <c r="I5131" s="22">
        <f t="shared" si="169"/>
        <v>40235</v>
      </c>
      <c r="J5131" s="1" t="str">
        <f>"00738779"</f>
        <v>00738779</v>
      </c>
      <c r="K5131" s="1" t="str">
        <f>"１８２２　　　　　　　　　　　　　　　　"</f>
        <v>１８２２　　　　　　　　　　　　　　　　</v>
      </c>
      <c r="L5131" s="1"/>
    </row>
    <row r="5132" spans="1:12" ht="18" customHeight="1" x14ac:dyDescent="0.15">
      <c r="A5132" s="1">
        <v>1197</v>
      </c>
      <c r="B5132" s="1" t="s">
        <v>28</v>
      </c>
      <c r="C5132" s="1" t="s">
        <v>151</v>
      </c>
      <c r="D5132" s="1">
        <v>1</v>
      </c>
      <c r="E5132" s="1" t="s">
        <v>4</v>
      </c>
      <c r="F5132" s="2">
        <v>20700</v>
      </c>
      <c r="G5132" s="2" t="s">
        <v>667</v>
      </c>
      <c r="H5132" s="1" t="str">
        <f t="shared" si="170"/>
        <v>平成22年2月26日</v>
      </c>
      <c r="I5132" s="22">
        <f t="shared" si="169"/>
        <v>40235</v>
      </c>
      <c r="J5132" s="1" t="str">
        <f>"00738781"</f>
        <v>00738781</v>
      </c>
      <c r="K5132" s="1" t="str">
        <f>"１８２３　　　　　　　　　　　　　　　　"</f>
        <v>１８２３　　　　　　　　　　　　　　　　</v>
      </c>
      <c r="L5132" s="1"/>
    </row>
    <row r="5133" spans="1:12" ht="18" customHeight="1" x14ac:dyDescent="0.15">
      <c r="A5133" s="1">
        <v>1198</v>
      </c>
      <c r="B5133" s="1" t="s">
        <v>28</v>
      </c>
      <c r="C5133" s="1" t="s">
        <v>151</v>
      </c>
      <c r="D5133" s="1">
        <v>1</v>
      </c>
      <c r="E5133" s="1" t="s">
        <v>4</v>
      </c>
      <c r="F5133" s="2">
        <v>20700</v>
      </c>
      <c r="G5133" s="2" t="s">
        <v>667</v>
      </c>
      <c r="H5133" s="1" t="str">
        <f t="shared" si="170"/>
        <v>平成22年2月26日</v>
      </c>
      <c r="I5133" s="22">
        <f t="shared" si="169"/>
        <v>40235</v>
      </c>
      <c r="J5133" s="1" t="str">
        <f>"00738783"</f>
        <v>00738783</v>
      </c>
      <c r="K5133" s="1" t="str">
        <f>"１８２４　　　　　　　　　　　　　　　　"</f>
        <v>１８２４　　　　　　　　　　　　　　　　</v>
      </c>
      <c r="L5133" s="1"/>
    </row>
    <row r="5134" spans="1:12" ht="18" customHeight="1" x14ac:dyDescent="0.15">
      <c r="A5134" s="1">
        <v>1199</v>
      </c>
      <c r="B5134" s="1" t="s">
        <v>28</v>
      </c>
      <c r="C5134" s="1" t="s">
        <v>151</v>
      </c>
      <c r="D5134" s="1">
        <v>1</v>
      </c>
      <c r="E5134" s="1" t="s">
        <v>4</v>
      </c>
      <c r="F5134" s="2">
        <v>20700</v>
      </c>
      <c r="G5134" s="2" t="s">
        <v>667</v>
      </c>
      <c r="H5134" s="1" t="str">
        <f t="shared" si="170"/>
        <v>平成22年2月26日</v>
      </c>
      <c r="I5134" s="22">
        <f t="shared" si="169"/>
        <v>40235</v>
      </c>
      <c r="J5134" s="1" t="str">
        <f>"00738784"</f>
        <v>00738784</v>
      </c>
      <c r="K5134" s="1" t="str">
        <f>"１８２５　　　　　　　　　　　　　　　　"</f>
        <v>１８２５　　　　　　　　　　　　　　　　</v>
      </c>
      <c r="L5134" s="1"/>
    </row>
    <row r="5135" spans="1:12" ht="18" customHeight="1" x14ac:dyDescent="0.15">
      <c r="A5135" s="1">
        <v>1200</v>
      </c>
      <c r="B5135" s="1" t="s">
        <v>28</v>
      </c>
      <c r="C5135" s="1" t="s">
        <v>151</v>
      </c>
      <c r="D5135" s="1">
        <v>1</v>
      </c>
      <c r="E5135" s="1" t="s">
        <v>4</v>
      </c>
      <c r="F5135" s="2">
        <v>20700</v>
      </c>
      <c r="G5135" s="2" t="s">
        <v>667</v>
      </c>
      <c r="H5135" s="1" t="str">
        <f t="shared" si="170"/>
        <v>平成22年2月26日</v>
      </c>
      <c r="I5135" s="22">
        <f t="shared" si="169"/>
        <v>40235</v>
      </c>
      <c r="J5135" s="1" t="str">
        <f>"00738786"</f>
        <v>00738786</v>
      </c>
      <c r="K5135" s="1" t="str">
        <f>"１８２６　　　　　　　　　　　　　　　　"</f>
        <v>１８２６　　　　　　　　　　　　　　　　</v>
      </c>
      <c r="L5135" s="1"/>
    </row>
    <row r="5136" spans="1:12" ht="18" customHeight="1" x14ac:dyDescent="0.15">
      <c r="A5136" s="1">
        <v>1201</v>
      </c>
      <c r="B5136" s="1" t="s">
        <v>28</v>
      </c>
      <c r="C5136" s="1" t="s">
        <v>151</v>
      </c>
      <c r="D5136" s="1">
        <v>1</v>
      </c>
      <c r="E5136" s="1" t="s">
        <v>4</v>
      </c>
      <c r="F5136" s="2">
        <v>20700</v>
      </c>
      <c r="G5136" s="2" t="s">
        <v>667</v>
      </c>
      <c r="H5136" s="1" t="str">
        <f t="shared" si="170"/>
        <v>平成22年2月26日</v>
      </c>
      <c r="I5136" s="22">
        <f t="shared" si="169"/>
        <v>40235</v>
      </c>
      <c r="J5136" s="1" t="str">
        <f>"00738788"</f>
        <v>00738788</v>
      </c>
      <c r="K5136" s="1" t="str">
        <f>"１８２７　　　　　　　　　　　　　　　　"</f>
        <v>１８２７　　　　　　　　　　　　　　　　</v>
      </c>
      <c r="L5136" s="1"/>
    </row>
    <row r="5137" spans="1:12" ht="18" customHeight="1" x14ac:dyDescent="0.15">
      <c r="A5137" s="1">
        <v>1202</v>
      </c>
      <c r="B5137" s="1" t="s">
        <v>28</v>
      </c>
      <c r="C5137" s="1" t="s">
        <v>151</v>
      </c>
      <c r="D5137" s="1">
        <v>1</v>
      </c>
      <c r="E5137" s="1" t="s">
        <v>4</v>
      </c>
      <c r="F5137" s="2">
        <v>20700</v>
      </c>
      <c r="G5137" s="2" t="s">
        <v>667</v>
      </c>
      <c r="H5137" s="1" t="str">
        <f t="shared" si="170"/>
        <v>平成22年2月26日</v>
      </c>
      <c r="I5137" s="22">
        <f t="shared" si="169"/>
        <v>40235</v>
      </c>
      <c r="J5137" s="1" t="str">
        <f>"00738790"</f>
        <v>00738790</v>
      </c>
      <c r="K5137" s="1" t="str">
        <f>"１８２８　　　　　　　　　　　　　　　　"</f>
        <v>１８２８　　　　　　　　　　　　　　　　</v>
      </c>
      <c r="L5137" s="1"/>
    </row>
    <row r="5138" spans="1:12" ht="18" customHeight="1" x14ac:dyDescent="0.15">
      <c r="A5138" s="1">
        <v>1203</v>
      </c>
      <c r="B5138" s="1" t="s">
        <v>28</v>
      </c>
      <c r="C5138" s="1" t="s">
        <v>151</v>
      </c>
      <c r="D5138" s="1">
        <v>1</v>
      </c>
      <c r="E5138" s="1" t="s">
        <v>4</v>
      </c>
      <c r="F5138" s="2">
        <v>20700</v>
      </c>
      <c r="G5138" s="2" t="s">
        <v>667</v>
      </c>
      <c r="H5138" s="1" t="str">
        <f t="shared" si="170"/>
        <v>平成22年2月26日</v>
      </c>
      <c r="I5138" s="22">
        <f t="shared" si="169"/>
        <v>40235</v>
      </c>
      <c r="J5138" s="1" t="str">
        <f>"00738792"</f>
        <v>00738792</v>
      </c>
      <c r="K5138" s="1" t="str">
        <f>"１８２９　　　　　　　　　　　　　　　　"</f>
        <v>１８２９　　　　　　　　　　　　　　　　</v>
      </c>
      <c r="L5138" s="1"/>
    </row>
    <row r="5139" spans="1:12" ht="18" customHeight="1" x14ac:dyDescent="0.15">
      <c r="A5139" s="1">
        <v>1204</v>
      </c>
      <c r="B5139" s="1" t="s">
        <v>28</v>
      </c>
      <c r="C5139" s="1" t="s">
        <v>151</v>
      </c>
      <c r="D5139" s="1">
        <v>1</v>
      </c>
      <c r="E5139" s="1" t="s">
        <v>4</v>
      </c>
      <c r="F5139" s="2">
        <v>20700</v>
      </c>
      <c r="G5139" s="2" t="s">
        <v>667</v>
      </c>
      <c r="H5139" s="1" t="str">
        <f t="shared" si="170"/>
        <v>平成22年2月26日</v>
      </c>
      <c r="I5139" s="22">
        <f t="shared" si="169"/>
        <v>40235</v>
      </c>
      <c r="J5139" s="1" t="str">
        <f>"00738794"</f>
        <v>00738794</v>
      </c>
      <c r="K5139" s="1" t="str">
        <f>"１８３０　　　　　　　　　　　　　　　　"</f>
        <v>１８３０　　　　　　　　　　　　　　　　</v>
      </c>
      <c r="L5139" s="1"/>
    </row>
    <row r="5140" spans="1:12" ht="18" customHeight="1" x14ac:dyDescent="0.15">
      <c r="A5140" s="1">
        <v>1205</v>
      </c>
      <c r="B5140" s="1" t="s">
        <v>28</v>
      </c>
      <c r="C5140" s="1" t="s">
        <v>151</v>
      </c>
      <c r="D5140" s="1">
        <v>1</v>
      </c>
      <c r="E5140" s="1" t="s">
        <v>4</v>
      </c>
      <c r="F5140" s="2">
        <v>20700</v>
      </c>
      <c r="G5140" s="2" t="s">
        <v>667</v>
      </c>
      <c r="H5140" s="1" t="str">
        <f t="shared" si="170"/>
        <v>平成22年2月26日</v>
      </c>
      <c r="I5140" s="22">
        <f t="shared" si="169"/>
        <v>40235</v>
      </c>
      <c r="J5140" s="1" t="str">
        <f>"00738796"</f>
        <v>00738796</v>
      </c>
      <c r="K5140" s="1" t="str">
        <f>"１８３１　　　　　　　　　　　　　　　　"</f>
        <v>１８３１　　　　　　　　　　　　　　　　</v>
      </c>
      <c r="L5140" s="1"/>
    </row>
    <row r="5141" spans="1:12" ht="18" customHeight="1" x14ac:dyDescent="0.15">
      <c r="A5141" s="1">
        <v>1206</v>
      </c>
      <c r="B5141" s="1" t="s">
        <v>28</v>
      </c>
      <c r="C5141" s="1" t="s">
        <v>151</v>
      </c>
      <c r="D5141" s="1">
        <v>1</v>
      </c>
      <c r="E5141" s="1" t="s">
        <v>4</v>
      </c>
      <c r="F5141" s="2">
        <v>20700</v>
      </c>
      <c r="G5141" s="2" t="s">
        <v>667</v>
      </c>
      <c r="H5141" s="1" t="str">
        <f t="shared" si="170"/>
        <v>平成22年2月26日</v>
      </c>
      <c r="I5141" s="22">
        <f t="shared" si="169"/>
        <v>40235</v>
      </c>
      <c r="J5141" s="1" t="str">
        <f>"00738798"</f>
        <v>00738798</v>
      </c>
      <c r="K5141" s="1" t="str">
        <f>"１８３２　　　　　　　　　　　　　　　　"</f>
        <v>１８３２　　　　　　　　　　　　　　　　</v>
      </c>
      <c r="L5141" s="1"/>
    </row>
    <row r="5142" spans="1:12" ht="18" customHeight="1" x14ac:dyDescent="0.15">
      <c r="A5142" s="1">
        <v>1207</v>
      </c>
      <c r="B5142" s="1" t="s">
        <v>28</v>
      </c>
      <c r="C5142" s="1" t="s">
        <v>151</v>
      </c>
      <c r="D5142" s="1">
        <v>1</v>
      </c>
      <c r="E5142" s="1" t="s">
        <v>4</v>
      </c>
      <c r="F5142" s="2">
        <v>20700</v>
      </c>
      <c r="G5142" s="2" t="s">
        <v>667</v>
      </c>
      <c r="H5142" s="1" t="str">
        <f t="shared" si="170"/>
        <v>平成22年2月26日</v>
      </c>
      <c r="I5142" s="22">
        <f t="shared" si="169"/>
        <v>40235</v>
      </c>
      <c r="J5142" s="1" t="str">
        <f>"00738800"</f>
        <v>00738800</v>
      </c>
      <c r="K5142" s="1" t="str">
        <f>"１８３３　　　　　　　　　　　　　　　　"</f>
        <v>１８３３　　　　　　　　　　　　　　　　</v>
      </c>
      <c r="L5142" s="1"/>
    </row>
    <row r="5143" spans="1:12" ht="18" customHeight="1" x14ac:dyDescent="0.15">
      <c r="A5143" s="1">
        <v>1208</v>
      </c>
      <c r="B5143" s="1" t="s">
        <v>28</v>
      </c>
      <c r="C5143" s="1" t="s">
        <v>151</v>
      </c>
      <c r="D5143" s="1">
        <v>1</v>
      </c>
      <c r="E5143" s="1" t="s">
        <v>4</v>
      </c>
      <c r="F5143" s="2">
        <v>20700</v>
      </c>
      <c r="G5143" s="2" t="s">
        <v>667</v>
      </c>
      <c r="H5143" s="1" t="str">
        <f t="shared" si="170"/>
        <v>平成22年2月26日</v>
      </c>
      <c r="I5143" s="22">
        <f t="shared" si="169"/>
        <v>40235</v>
      </c>
      <c r="J5143" s="1" t="str">
        <f>"00738802"</f>
        <v>00738802</v>
      </c>
      <c r="K5143" s="1" t="str">
        <f>"１８３４　　　　　　　　　　　　　　　　"</f>
        <v>１８３４　　　　　　　　　　　　　　　　</v>
      </c>
      <c r="L5143" s="1"/>
    </row>
    <row r="5144" spans="1:12" ht="18" customHeight="1" x14ac:dyDescent="0.15">
      <c r="A5144" s="1">
        <v>1209</v>
      </c>
      <c r="B5144" s="1" t="s">
        <v>28</v>
      </c>
      <c r="C5144" s="1" t="s">
        <v>151</v>
      </c>
      <c r="D5144" s="1">
        <v>1</v>
      </c>
      <c r="E5144" s="1" t="s">
        <v>4</v>
      </c>
      <c r="F5144" s="2">
        <v>20700</v>
      </c>
      <c r="G5144" s="2" t="s">
        <v>667</v>
      </c>
      <c r="H5144" s="1" t="str">
        <f t="shared" si="170"/>
        <v>平成22年2月26日</v>
      </c>
      <c r="I5144" s="22">
        <f t="shared" si="169"/>
        <v>40235</v>
      </c>
      <c r="J5144" s="1" t="str">
        <f>"00738804"</f>
        <v>00738804</v>
      </c>
      <c r="K5144" s="1" t="str">
        <f>"１８３５　　　　　　　　　　　　　　　　"</f>
        <v>１８３５　　　　　　　　　　　　　　　　</v>
      </c>
      <c r="L5144" s="1"/>
    </row>
    <row r="5145" spans="1:12" ht="18" customHeight="1" x14ac:dyDescent="0.15">
      <c r="A5145" s="1">
        <v>1210</v>
      </c>
      <c r="B5145" s="1" t="s">
        <v>28</v>
      </c>
      <c r="C5145" s="1" t="s">
        <v>151</v>
      </c>
      <c r="D5145" s="1">
        <v>1</v>
      </c>
      <c r="E5145" s="1" t="s">
        <v>4</v>
      </c>
      <c r="F5145" s="2">
        <v>20700</v>
      </c>
      <c r="G5145" s="2" t="s">
        <v>667</v>
      </c>
      <c r="H5145" s="1" t="str">
        <f t="shared" si="170"/>
        <v>平成22年2月26日</v>
      </c>
      <c r="I5145" s="22">
        <f t="shared" si="169"/>
        <v>40235</v>
      </c>
      <c r="J5145" s="1" t="str">
        <f>"00738806"</f>
        <v>00738806</v>
      </c>
      <c r="K5145" s="1" t="str">
        <f>"１８３６　　　　　　　　　　　　　　　　"</f>
        <v>１８３６　　　　　　　　　　　　　　　　</v>
      </c>
      <c r="L5145" s="1"/>
    </row>
    <row r="5146" spans="1:12" ht="18" customHeight="1" x14ac:dyDescent="0.15">
      <c r="A5146" s="1">
        <v>1211</v>
      </c>
      <c r="B5146" s="1" t="s">
        <v>28</v>
      </c>
      <c r="C5146" s="1" t="s">
        <v>151</v>
      </c>
      <c r="D5146" s="1">
        <v>1</v>
      </c>
      <c r="E5146" s="1" t="s">
        <v>4</v>
      </c>
      <c r="F5146" s="2">
        <v>20700</v>
      </c>
      <c r="G5146" s="2" t="s">
        <v>667</v>
      </c>
      <c r="H5146" s="1" t="str">
        <f t="shared" si="170"/>
        <v>平成22年2月26日</v>
      </c>
      <c r="I5146" s="22">
        <f t="shared" ref="I5146:I5209" si="171">DATEVALUE(H5146)</f>
        <v>40235</v>
      </c>
      <c r="J5146" s="1" t="str">
        <f>"00738808"</f>
        <v>00738808</v>
      </c>
      <c r="K5146" s="1" t="str">
        <f>"１８３７　　　　　　　　　　　　　　　　"</f>
        <v>１８３７　　　　　　　　　　　　　　　　</v>
      </c>
      <c r="L5146" s="1"/>
    </row>
    <row r="5147" spans="1:12" ht="18" customHeight="1" x14ac:dyDescent="0.15">
      <c r="A5147" s="1">
        <v>1212</v>
      </c>
      <c r="B5147" s="1" t="s">
        <v>28</v>
      </c>
      <c r="C5147" s="1" t="s">
        <v>151</v>
      </c>
      <c r="D5147" s="1">
        <v>1</v>
      </c>
      <c r="E5147" s="1" t="s">
        <v>4</v>
      </c>
      <c r="F5147" s="2">
        <v>20700</v>
      </c>
      <c r="G5147" s="2" t="s">
        <v>667</v>
      </c>
      <c r="H5147" s="1" t="str">
        <f t="shared" si="170"/>
        <v>平成22年2月26日</v>
      </c>
      <c r="I5147" s="22">
        <f t="shared" si="171"/>
        <v>40235</v>
      </c>
      <c r="J5147" s="1" t="str">
        <f>"00738810"</f>
        <v>00738810</v>
      </c>
      <c r="K5147" s="1" t="str">
        <f>"１８３８　　　　　　　　　　　　　　　　"</f>
        <v>１８３８　　　　　　　　　　　　　　　　</v>
      </c>
      <c r="L5147" s="1"/>
    </row>
    <row r="5148" spans="1:12" ht="18" customHeight="1" x14ac:dyDescent="0.15">
      <c r="A5148" s="1">
        <v>1213</v>
      </c>
      <c r="B5148" s="1" t="s">
        <v>28</v>
      </c>
      <c r="C5148" s="1" t="s">
        <v>151</v>
      </c>
      <c r="D5148" s="1">
        <v>1</v>
      </c>
      <c r="E5148" s="1" t="s">
        <v>4</v>
      </c>
      <c r="F5148" s="2">
        <v>20700</v>
      </c>
      <c r="G5148" s="2" t="s">
        <v>667</v>
      </c>
      <c r="H5148" s="1" t="str">
        <f t="shared" si="170"/>
        <v>平成22年2月26日</v>
      </c>
      <c r="I5148" s="22">
        <f t="shared" si="171"/>
        <v>40235</v>
      </c>
      <c r="J5148" s="1" t="str">
        <f>"00738812"</f>
        <v>00738812</v>
      </c>
      <c r="K5148" s="1" t="str">
        <f>"１８３９　　　　　　　　　　　　　　　　"</f>
        <v>１８３９　　　　　　　　　　　　　　　　</v>
      </c>
      <c r="L5148" s="1"/>
    </row>
    <row r="5149" spans="1:12" ht="18" customHeight="1" x14ac:dyDescent="0.15">
      <c r="A5149" s="1">
        <v>1214</v>
      </c>
      <c r="B5149" s="1" t="s">
        <v>28</v>
      </c>
      <c r="C5149" s="1" t="s">
        <v>151</v>
      </c>
      <c r="D5149" s="1">
        <v>1</v>
      </c>
      <c r="E5149" s="1" t="s">
        <v>4</v>
      </c>
      <c r="F5149" s="2">
        <v>20700</v>
      </c>
      <c r="G5149" s="2" t="s">
        <v>667</v>
      </c>
      <c r="H5149" s="1" t="str">
        <f t="shared" si="170"/>
        <v>平成22年2月26日</v>
      </c>
      <c r="I5149" s="22">
        <f t="shared" si="171"/>
        <v>40235</v>
      </c>
      <c r="J5149" s="1" t="str">
        <f>"00738815"</f>
        <v>00738815</v>
      </c>
      <c r="K5149" s="1" t="str">
        <f>"１８４０　　　　　　　　　　　　　　　　"</f>
        <v>１８４０　　　　　　　　　　　　　　　　</v>
      </c>
      <c r="L5149" s="1"/>
    </row>
    <row r="5150" spans="1:12" ht="18" customHeight="1" x14ac:dyDescent="0.15">
      <c r="A5150" s="1">
        <v>1215</v>
      </c>
      <c r="B5150" s="1" t="s">
        <v>28</v>
      </c>
      <c r="C5150" s="1" t="s">
        <v>151</v>
      </c>
      <c r="D5150" s="1">
        <v>1</v>
      </c>
      <c r="E5150" s="1" t="s">
        <v>4</v>
      </c>
      <c r="F5150" s="2">
        <v>20700</v>
      </c>
      <c r="G5150" s="2" t="s">
        <v>667</v>
      </c>
      <c r="H5150" s="1" t="str">
        <f t="shared" si="170"/>
        <v>平成22年2月26日</v>
      </c>
      <c r="I5150" s="22">
        <f t="shared" si="171"/>
        <v>40235</v>
      </c>
      <c r="J5150" s="1" t="str">
        <f>"00738817"</f>
        <v>00738817</v>
      </c>
      <c r="K5150" s="1" t="str">
        <f>"１８４１　　　　　　　　　　　　　　　　"</f>
        <v>１８４１　　　　　　　　　　　　　　　　</v>
      </c>
      <c r="L5150" s="1"/>
    </row>
    <row r="5151" spans="1:12" ht="18" customHeight="1" x14ac:dyDescent="0.15">
      <c r="A5151" s="1">
        <v>1216</v>
      </c>
      <c r="B5151" s="1" t="s">
        <v>28</v>
      </c>
      <c r="C5151" s="1" t="s">
        <v>151</v>
      </c>
      <c r="D5151" s="1">
        <v>1</v>
      </c>
      <c r="E5151" s="1" t="s">
        <v>4</v>
      </c>
      <c r="F5151" s="2">
        <v>20700</v>
      </c>
      <c r="G5151" s="2" t="s">
        <v>667</v>
      </c>
      <c r="H5151" s="1" t="str">
        <f t="shared" si="170"/>
        <v>平成22年2月26日</v>
      </c>
      <c r="I5151" s="22">
        <f t="shared" si="171"/>
        <v>40235</v>
      </c>
      <c r="J5151" s="1" t="str">
        <f>"00738819"</f>
        <v>00738819</v>
      </c>
      <c r="K5151" s="1" t="str">
        <f>"１８４２　　　　　　　　　　　　　　　　"</f>
        <v>１８４２　　　　　　　　　　　　　　　　</v>
      </c>
      <c r="L5151" s="1"/>
    </row>
    <row r="5152" spans="1:12" ht="18" customHeight="1" x14ac:dyDescent="0.15">
      <c r="A5152" s="1">
        <v>1217</v>
      </c>
      <c r="B5152" s="1" t="s">
        <v>28</v>
      </c>
      <c r="C5152" s="1" t="s">
        <v>151</v>
      </c>
      <c r="D5152" s="1">
        <v>1</v>
      </c>
      <c r="E5152" s="1" t="s">
        <v>4</v>
      </c>
      <c r="F5152" s="2">
        <v>20700</v>
      </c>
      <c r="G5152" s="2" t="s">
        <v>667</v>
      </c>
      <c r="H5152" s="1" t="str">
        <f t="shared" si="170"/>
        <v>平成22年2月26日</v>
      </c>
      <c r="I5152" s="22">
        <f t="shared" si="171"/>
        <v>40235</v>
      </c>
      <c r="J5152" s="1" t="str">
        <f>"00738821"</f>
        <v>00738821</v>
      </c>
      <c r="K5152" s="1" t="str">
        <f>"１８４３　　　　　　　　　　　　　　　　"</f>
        <v>１８４３　　　　　　　　　　　　　　　　</v>
      </c>
      <c r="L5152" s="1"/>
    </row>
    <row r="5153" spans="1:12" ht="18" customHeight="1" x14ac:dyDescent="0.15">
      <c r="A5153" s="1">
        <v>1218</v>
      </c>
      <c r="B5153" s="1" t="s">
        <v>28</v>
      </c>
      <c r="C5153" s="1" t="s">
        <v>151</v>
      </c>
      <c r="D5153" s="1">
        <v>1</v>
      </c>
      <c r="E5153" s="1" t="s">
        <v>4</v>
      </c>
      <c r="F5153" s="2">
        <v>20700</v>
      </c>
      <c r="G5153" s="2" t="s">
        <v>667</v>
      </c>
      <c r="H5153" s="1" t="str">
        <f t="shared" si="170"/>
        <v>平成22年2月26日</v>
      </c>
      <c r="I5153" s="22">
        <f t="shared" si="171"/>
        <v>40235</v>
      </c>
      <c r="J5153" s="1" t="str">
        <f>"00738823"</f>
        <v>00738823</v>
      </c>
      <c r="K5153" s="1" t="str">
        <f>"１８４４　　　　　　　　　　　　　　　　"</f>
        <v>１８４４　　　　　　　　　　　　　　　　</v>
      </c>
      <c r="L5153" s="1"/>
    </row>
    <row r="5154" spans="1:12" ht="18" customHeight="1" x14ac:dyDescent="0.15">
      <c r="A5154" s="1">
        <v>1219</v>
      </c>
      <c r="B5154" s="1" t="s">
        <v>28</v>
      </c>
      <c r="C5154" s="1" t="s">
        <v>151</v>
      </c>
      <c r="D5154" s="1">
        <v>1</v>
      </c>
      <c r="E5154" s="1" t="s">
        <v>4</v>
      </c>
      <c r="F5154" s="2">
        <v>20700</v>
      </c>
      <c r="G5154" s="2" t="s">
        <v>667</v>
      </c>
      <c r="H5154" s="1" t="str">
        <f t="shared" si="170"/>
        <v>平成22年2月26日</v>
      </c>
      <c r="I5154" s="22">
        <f t="shared" si="171"/>
        <v>40235</v>
      </c>
      <c r="J5154" s="1" t="str">
        <f>"00738825"</f>
        <v>00738825</v>
      </c>
      <c r="K5154" s="1" t="str">
        <f>"１８４５　　　　　　　　　　　　　　　　"</f>
        <v>１８４５　　　　　　　　　　　　　　　　</v>
      </c>
      <c r="L5154" s="1"/>
    </row>
    <row r="5155" spans="1:12" ht="18" customHeight="1" x14ac:dyDescent="0.15">
      <c r="A5155" s="1">
        <v>1220</v>
      </c>
      <c r="B5155" s="1" t="s">
        <v>28</v>
      </c>
      <c r="C5155" s="1" t="s">
        <v>658</v>
      </c>
      <c r="D5155" s="1">
        <v>1</v>
      </c>
      <c r="E5155" s="1" t="s">
        <v>4</v>
      </c>
      <c r="F5155" s="2">
        <v>20700</v>
      </c>
      <c r="G5155" s="2" t="s">
        <v>667</v>
      </c>
      <c r="H5155" s="1" t="str">
        <f t="shared" si="170"/>
        <v>平成22年2月26日</v>
      </c>
      <c r="I5155" s="22">
        <f t="shared" si="171"/>
        <v>40235</v>
      </c>
      <c r="J5155" s="1" t="str">
        <f>"00738827"</f>
        <v>00738827</v>
      </c>
      <c r="K5155" s="1" t="str">
        <f>"１８４６　　　　　　　　　　　　　　　　"</f>
        <v>１８４６　　　　　　　　　　　　　　　　</v>
      </c>
      <c r="L5155" s="1"/>
    </row>
    <row r="5156" spans="1:12" ht="18" customHeight="1" x14ac:dyDescent="0.15">
      <c r="A5156" s="1">
        <v>1221</v>
      </c>
      <c r="B5156" s="1" t="s">
        <v>28</v>
      </c>
      <c r="C5156" s="1" t="s">
        <v>151</v>
      </c>
      <c r="D5156" s="1">
        <v>1</v>
      </c>
      <c r="E5156" s="1" t="s">
        <v>4</v>
      </c>
      <c r="F5156" s="2">
        <v>20700</v>
      </c>
      <c r="G5156" s="2" t="s">
        <v>667</v>
      </c>
      <c r="H5156" s="1" t="str">
        <f t="shared" si="170"/>
        <v>平成22年2月26日</v>
      </c>
      <c r="I5156" s="22">
        <f t="shared" si="171"/>
        <v>40235</v>
      </c>
      <c r="J5156" s="1" t="str">
        <f>"00738829"</f>
        <v>00738829</v>
      </c>
      <c r="K5156" s="1" t="str">
        <f>"１８４７　　　　　　　　　　　　　　　　"</f>
        <v>１８４７　　　　　　　　　　　　　　　　</v>
      </c>
      <c r="L5156" s="1"/>
    </row>
    <row r="5157" spans="1:12" ht="18" customHeight="1" x14ac:dyDescent="0.15">
      <c r="A5157" s="1">
        <v>1222</v>
      </c>
      <c r="B5157" s="1" t="s">
        <v>28</v>
      </c>
      <c r="C5157" s="1" t="s">
        <v>151</v>
      </c>
      <c r="D5157" s="1">
        <v>1</v>
      </c>
      <c r="E5157" s="1" t="s">
        <v>4</v>
      </c>
      <c r="F5157" s="2">
        <v>20700</v>
      </c>
      <c r="G5157" s="2" t="s">
        <v>667</v>
      </c>
      <c r="H5157" s="1" t="str">
        <f t="shared" ref="H5157:H5220" si="172">"平成22年2月26日"</f>
        <v>平成22年2月26日</v>
      </c>
      <c r="I5157" s="22">
        <f t="shared" si="171"/>
        <v>40235</v>
      </c>
      <c r="J5157" s="1" t="str">
        <f>"00738831"</f>
        <v>00738831</v>
      </c>
      <c r="K5157" s="1" t="str">
        <f>"１８４８　　　　　　　　　　　　　　　　"</f>
        <v>１８４８　　　　　　　　　　　　　　　　</v>
      </c>
      <c r="L5157" s="1"/>
    </row>
    <row r="5158" spans="1:12" ht="18" customHeight="1" x14ac:dyDescent="0.15">
      <c r="A5158" s="1">
        <v>1223</v>
      </c>
      <c r="B5158" s="1" t="s">
        <v>28</v>
      </c>
      <c r="C5158" s="1" t="s">
        <v>151</v>
      </c>
      <c r="D5158" s="1">
        <v>1</v>
      </c>
      <c r="E5158" s="1" t="s">
        <v>4</v>
      </c>
      <c r="F5158" s="2">
        <v>20700</v>
      </c>
      <c r="G5158" s="2" t="s">
        <v>667</v>
      </c>
      <c r="H5158" s="1" t="str">
        <f t="shared" si="172"/>
        <v>平成22年2月26日</v>
      </c>
      <c r="I5158" s="22">
        <f t="shared" si="171"/>
        <v>40235</v>
      </c>
      <c r="J5158" s="1" t="str">
        <f>"00738833"</f>
        <v>00738833</v>
      </c>
      <c r="K5158" s="1" t="str">
        <f>"１８４９　　　　　　　　　　　　　　　　"</f>
        <v>１８４９　　　　　　　　　　　　　　　　</v>
      </c>
      <c r="L5158" s="1"/>
    </row>
    <row r="5159" spans="1:12" ht="18" customHeight="1" x14ac:dyDescent="0.15">
      <c r="A5159" s="1">
        <v>1224</v>
      </c>
      <c r="B5159" s="1" t="s">
        <v>28</v>
      </c>
      <c r="C5159" s="1" t="s">
        <v>151</v>
      </c>
      <c r="D5159" s="1">
        <v>1</v>
      </c>
      <c r="E5159" s="1" t="s">
        <v>4</v>
      </c>
      <c r="F5159" s="2">
        <v>20700</v>
      </c>
      <c r="G5159" s="2" t="s">
        <v>667</v>
      </c>
      <c r="H5159" s="1" t="str">
        <f t="shared" si="172"/>
        <v>平成22年2月26日</v>
      </c>
      <c r="I5159" s="22">
        <f t="shared" si="171"/>
        <v>40235</v>
      </c>
      <c r="J5159" s="1" t="str">
        <f>"00738835"</f>
        <v>00738835</v>
      </c>
      <c r="K5159" s="1" t="str">
        <f>"１８５０　　　　　　　　　　　　　　　　"</f>
        <v>１８５０　　　　　　　　　　　　　　　　</v>
      </c>
      <c r="L5159" s="1"/>
    </row>
    <row r="5160" spans="1:12" ht="18" customHeight="1" x14ac:dyDescent="0.15">
      <c r="A5160" s="1">
        <v>1225</v>
      </c>
      <c r="B5160" s="1" t="s">
        <v>28</v>
      </c>
      <c r="C5160" s="1" t="s">
        <v>151</v>
      </c>
      <c r="D5160" s="1">
        <v>1</v>
      </c>
      <c r="E5160" s="1" t="s">
        <v>4</v>
      </c>
      <c r="F5160" s="2">
        <v>20700</v>
      </c>
      <c r="G5160" s="2" t="s">
        <v>667</v>
      </c>
      <c r="H5160" s="1" t="str">
        <f t="shared" si="172"/>
        <v>平成22年2月26日</v>
      </c>
      <c r="I5160" s="22">
        <f t="shared" si="171"/>
        <v>40235</v>
      </c>
      <c r="J5160" s="1" t="str">
        <f>"00738837"</f>
        <v>00738837</v>
      </c>
      <c r="K5160" s="1" t="str">
        <f>"１８５１　　　　　　　　　　　　　　　　"</f>
        <v>１８５１　　　　　　　　　　　　　　　　</v>
      </c>
      <c r="L5160" s="1"/>
    </row>
    <row r="5161" spans="1:12" ht="18" customHeight="1" x14ac:dyDescent="0.15">
      <c r="A5161" s="1">
        <v>1226</v>
      </c>
      <c r="B5161" s="1" t="s">
        <v>28</v>
      </c>
      <c r="C5161" s="1" t="s">
        <v>151</v>
      </c>
      <c r="D5161" s="1">
        <v>1</v>
      </c>
      <c r="E5161" s="1" t="s">
        <v>4</v>
      </c>
      <c r="F5161" s="2">
        <v>20700</v>
      </c>
      <c r="G5161" s="2" t="s">
        <v>667</v>
      </c>
      <c r="H5161" s="1" t="str">
        <f t="shared" si="172"/>
        <v>平成22年2月26日</v>
      </c>
      <c r="I5161" s="22">
        <f t="shared" si="171"/>
        <v>40235</v>
      </c>
      <c r="J5161" s="1" t="str">
        <f>"00738839"</f>
        <v>00738839</v>
      </c>
      <c r="K5161" s="1" t="str">
        <f>"１８５２　　　　　　　　　　　　　　　　"</f>
        <v>１８５２　　　　　　　　　　　　　　　　</v>
      </c>
      <c r="L5161" s="1"/>
    </row>
    <row r="5162" spans="1:12" ht="18" customHeight="1" x14ac:dyDescent="0.15">
      <c r="A5162" s="1">
        <v>1227</v>
      </c>
      <c r="B5162" s="1" t="s">
        <v>28</v>
      </c>
      <c r="C5162" s="1" t="s">
        <v>151</v>
      </c>
      <c r="D5162" s="1">
        <v>1</v>
      </c>
      <c r="E5162" s="1" t="s">
        <v>4</v>
      </c>
      <c r="F5162" s="2">
        <v>20700</v>
      </c>
      <c r="G5162" s="2" t="s">
        <v>667</v>
      </c>
      <c r="H5162" s="1" t="str">
        <f t="shared" si="172"/>
        <v>平成22年2月26日</v>
      </c>
      <c r="I5162" s="22">
        <f t="shared" si="171"/>
        <v>40235</v>
      </c>
      <c r="J5162" s="1" t="str">
        <f>"00738841"</f>
        <v>00738841</v>
      </c>
      <c r="K5162" s="1" t="str">
        <f>"１８５３　　　　　　　　　　　　　　　　"</f>
        <v>１８５３　　　　　　　　　　　　　　　　</v>
      </c>
      <c r="L5162" s="1"/>
    </row>
    <row r="5163" spans="1:12" ht="18" customHeight="1" x14ac:dyDescent="0.15">
      <c r="A5163" s="1">
        <v>1228</v>
      </c>
      <c r="B5163" s="1" t="s">
        <v>28</v>
      </c>
      <c r="C5163" s="1" t="s">
        <v>151</v>
      </c>
      <c r="D5163" s="1">
        <v>1</v>
      </c>
      <c r="E5163" s="1" t="s">
        <v>4</v>
      </c>
      <c r="F5163" s="2">
        <v>20700</v>
      </c>
      <c r="G5163" s="2" t="s">
        <v>667</v>
      </c>
      <c r="H5163" s="1" t="str">
        <f t="shared" si="172"/>
        <v>平成22年2月26日</v>
      </c>
      <c r="I5163" s="22">
        <f t="shared" si="171"/>
        <v>40235</v>
      </c>
      <c r="J5163" s="1" t="str">
        <f>"00738843"</f>
        <v>00738843</v>
      </c>
      <c r="K5163" s="1" t="str">
        <f>"１８５４　　　　　　　　　　　　　　　　"</f>
        <v>１８５４　　　　　　　　　　　　　　　　</v>
      </c>
      <c r="L5163" s="1"/>
    </row>
    <row r="5164" spans="1:12" ht="18" customHeight="1" x14ac:dyDescent="0.15">
      <c r="A5164" s="1">
        <v>1229</v>
      </c>
      <c r="B5164" s="1" t="s">
        <v>28</v>
      </c>
      <c r="C5164" s="1" t="s">
        <v>151</v>
      </c>
      <c r="D5164" s="1">
        <v>1</v>
      </c>
      <c r="E5164" s="1" t="s">
        <v>4</v>
      </c>
      <c r="F5164" s="2">
        <v>20700</v>
      </c>
      <c r="G5164" s="2" t="s">
        <v>667</v>
      </c>
      <c r="H5164" s="1" t="str">
        <f t="shared" si="172"/>
        <v>平成22年2月26日</v>
      </c>
      <c r="I5164" s="22">
        <f t="shared" si="171"/>
        <v>40235</v>
      </c>
      <c r="J5164" s="1" t="str">
        <f>"00738845"</f>
        <v>00738845</v>
      </c>
      <c r="K5164" s="1" t="str">
        <f>"１８５５　　　　　　　　　　　　　　　　"</f>
        <v>１８５５　　　　　　　　　　　　　　　　</v>
      </c>
      <c r="L5164" s="1"/>
    </row>
    <row r="5165" spans="1:12" ht="18" customHeight="1" x14ac:dyDescent="0.15">
      <c r="A5165" s="1">
        <v>1230</v>
      </c>
      <c r="B5165" s="1" t="s">
        <v>28</v>
      </c>
      <c r="C5165" s="1" t="s">
        <v>151</v>
      </c>
      <c r="D5165" s="1">
        <v>1</v>
      </c>
      <c r="E5165" s="1" t="s">
        <v>4</v>
      </c>
      <c r="F5165" s="2">
        <v>20700</v>
      </c>
      <c r="G5165" s="2" t="s">
        <v>667</v>
      </c>
      <c r="H5165" s="1" t="str">
        <f t="shared" si="172"/>
        <v>平成22年2月26日</v>
      </c>
      <c r="I5165" s="22">
        <f t="shared" si="171"/>
        <v>40235</v>
      </c>
      <c r="J5165" s="1" t="str">
        <f>"00738847"</f>
        <v>00738847</v>
      </c>
      <c r="K5165" s="1" t="str">
        <f>"１８５６　　　　　　　　　　　　　　　　"</f>
        <v>１８５６　　　　　　　　　　　　　　　　</v>
      </c>
      <c r="L5165" s="1"/>
    </row>
    <row r="5166" spans="1:12" ht="18" customHeight="1" x14ac:dyDescent="0.15">
      <c r="A5166" s="1">
        <v>1231</v>
      </c>
      <c r="B5166" s="1" t="s">
        <v>28</v>
      </c>
      <c r="C5166" s="1" t="s">
        <v>151</v>
      </c>
      <c r="D5166" s="1">
        <v>1</v>
      </c>
      <c r="E5166" s="1" t="s">
        <v>4</v>
      </c>
      <c r="F5166" s="2">
        <v>20700</v>
      </c>
      <c r="G5166" s="2" t="s">
        <v>667</v>
      </c>
      <c r="H5166" s="1" t="str">
        <f t="shared" si="172"/>
        <v>平成22年2月26日</v>
      </c>
      <c r="I5166" s="22">
        <f t="shared" si="171"/>
        <v>40235</v>
      </c>
      <c r="J5166" s="1" t="str">
        <f>"00738849"</f>
        <v>00738849</v>
      </c>
      <c r="K5166" s="1" t="str">
        <f>"１８５７　　　　　　　　　　　　　　　　"</f>
        <v>１８５７　　　　　　　　　　　　　　　　</v>
      </c>
      <c r="L5166" s="1"/>
    </row>
    <row r="5167" spans="1:12" ht="18" customHeight="1" x14ac:dyDescent="0.15">
      <c r="A5167" s="1">
        <v>1232</v>
      </c>
      <c r="B5167" s="1" t="s">
        <v>28</v>
      </c>
      <c r="C5167" s="1" t="s">
        <v>151</v>
      </c>
      <c r="D5167" s="1">
        <v>1</v>
      </c>
      <c r="E5167" s="1" t="s">
        <v>4</v>
      </c>
      <c r="F5167" s="2">
        <v>20700</v>
      </c>
      <c r="G5167" s="2" t="s">
        <v>667</v>
      </c>
      <c r="H5167" s="1" t="str">
        <f t="shared" si="172"/>
        <v>平成22年2月26日</v>
      </c>
      <c r="I5167" s="22">
        <f t="shared" si="171"/>
        <v>40235</v>
      </c>
      <c r="J5167" s="1" t="str">
        <f>"00738851"</f>
        <v>00738851</v>
      </c>
      <c r="K5167" s="1" t="str">
        <f>"１８５８　　　　　　　　　　　　　　　　"</f>
        <v>１８５８　　　　　　　　　　　　　　　　</v>
      </c>
      <c r="L5167" s="1"/>
    </row>
    <row r="5168" spans="1:12" ht="18" customHeight="1" x14ac:dyDescent="0.15">
      <c r="A5168" s="1">
        <v>1233</v>
      </c>
      <c r="B5168" s="1" t="s">
        <v>28</v>
      </c>
      <c r="C5168" s="1" t="s">
        <v>151</v>
      </c>
      <c r="D5168" s="1">
        <v>1</v>
      </c>
      <c r="E5168" s="1" t="s">
        <v>4</v>
      </c>
      <c r="F5168" s="2">
        <v>20700</v>
      </c>
      <c r="G5168" s="2" t="s">
        <v>667</v>
      </c>
      <c r="H5168" s="1" t="str">
        <f t="shared" si="172"/>
        <v>平成22年2月26日</v>
      </c>
      <c r="I5168" s="22">
        <f t="shared" si="171"/>
        <v>40235</v>
      </c>
      <c r="J5168" s="1" t="str">
        <f>"00738853"</f>
        <v>00738853</v>
      </c>
      <c r="K5168" s="1" t="str">
        <f>"１８５９　　　　　　　　　　　　　　　　"</f>
        <v>１８５９　　　　　　　　　　　　　　　　</v>
      </c>
      <c r="L5168" s="1"/>
    </row>
    <row r="5169" spans="1:12" ht="18" customHeight="1" x14ac:dyDescent="0.15">
      <c r="A5169" s="1">
        <v>1234</v>
      </c>
      <c r="B5169" s="1" t="s">
        <v>28</v>
      </c>
      <c r="C5169" s="1" t="s">
        <v>151</v>
      </c>
      <c r="D5169" s="1">
        <v>1</v>
      </c>
      <c r="E5169" s="1" t="s">
        <v>4</v>
      </c>
      <c r="F5169" s="2">
        <v>20700</v>
      </c>
      <c r="G5169" s="2" t="s">
        <v>667</v>
      </c>
      <c r="H5169" s="1" t="str">
        <f t="shared" si="172"/>
        <v>平成22年2月26日</v>
      </c>
      <c r="I5169" s="22">
        <f t="shared" si="171"/>
        <v>40235</v>
      </c>
      <c r="J5169" s="1" t="str">
        <f>"00738855"</f>
        <v>00738855</v>
      </c>
      <c r="K5169" s="1" t="str">
        <f>"１８６０　　　　　　　　　　　　　　　　"</f>
        <v>１８６０　　　　　　　　　　　　　　　　</v>
      </c>
      <c r="L5169" s="1"/>
    </row>
    <row r="5170" spans="1:12" ht="18" customHeight="1" x14ac:dyDescent="0.15">
      <c r="A5170" s="1">
        <v>1235</v>
      </c>
      <c r="B5170" s="1" t="s">
        <v>28</v>
      </c>
      <c r="C5170" s="1" t="s">
        <v>151</v>
      </c>
      <c r="D5170" s="1">
        <v>1</v>
      </c>
      <c r="E5170" s="1" t="s">
        <v>4</v>
      </c>
      <c r="F5170" s="2">
        <v>20700</v>
      </c>
      <c r="G5170" s="2" t="s">
        <v>667</v>
      </c>
      <c r="H5170" s="1" t="str">
        <f t="shared" si="172"/>
        <v>平成22年2月26日</v>
      </c>
      <c r="I5170" s="22">
        <f t="shared" si="171"/>
        <v>40235</v>
      </c>
      <c r="J5170" s="1" t="str">
        <f>"00738857"</f>
        <v>00738857</v>
      </c>
      <c r="K5170" s="1" t="str">
        <f>"１８６１　　　　　　　　　　　　　　　　"</f>
        <v>１８６１　　　　　　　　　　　　　　　　</v>
      </c>
      <c r="L5170" s="1"/>
    </row>
    <row r="5171" spans="1:12" ht="18" customHeight="1" x14ac:dyDescent="0.15">
      <c r="A5171" s="1">
        <v>1236</v>
      </c>
      <c r="B5171" s="1" t="s">
        <v>28</v>
      </c>
      <c r="C5171" s="1" t="s">
        <v>151</v>
      </c>
      <c r="D5171" s="1">
        <v>1</v>
      </c>
      <c r="E5171" s="1" t="s">
        <v>4</v>
      </c>
      <c r="F5171" s="2">
        <v>20700</v>
      </c>
      <c r="G5171" s="2" t="s">
        <v>667</v>
      </c>
      <c r="H5171" s="1" t="str">
        <f t="shared" si="172"/>
        <v>平成22年2月26日</v>
      </c>
      <c r="I5171" s="22">
        <f t="shared" si="171"/>
        <v>40235</v>
      </c>
      <c r="J5171" s="1" t="str">
        <f>"00738859"</f>
        <v>00738859</v>
      </c>
      <c r="K5171" s="1" t="str">
        <f>"１８６２　　　　　　　　　　　　　　　　"</f>
        <v>１８６２　　　　　　　　　　　　　　　　</v>
      </c>
      <c r="L5171" s="1"/>
    </row>
    <row r="5172" spans="1:12" ht="18" customHeight="1" x14ac:dyDescent="0.15">
      <c r="A5172" s="1">
        <v>1237</v>
      </c>
      <c r="B5172" s="1" t="s">
        <v>28</v>
      </c>
      <c r="C5172" s="1" t="s">
        <v>151</v>
      </c>
      <c r="D5172" s="1">
        <v>1</v>
      </c>
      <c r="E5172" s="1" t="s">
        <v>4</v>
      </c>
      <c r="F5172" s="2">
        <v>20700</v>
      </c>
      <c r="G5172" s="2" t="s">
        <v>667</v>
      </c>
      <c r="H5172" s="1" t="str">
        <f t="shared" si="172"/>
        <v>平成22年2月26日</v>
      </c>
      <c r="I5172" s="22">
        <f t="shared" si="171"/>
        <v>40235</v>
      </c>
      <c r="J5172" s="1" t="str">
        <f>"00738861"</f>
        <v>00738861</v>
      </c>
      <c r="K5172" s="1" t="str">
        <f>"１８６３　　　　　　　　　　　　　　　　"</f>
        <v>１８６３　　　　　　　　　　　　　　　　</v>
      </c>
      <c r="L5172" s="1"/>
    </row>
    <row r="5173" spans="1:12" ht="18" customHeight="1" x14ac:dyDescent="0.15">
      <c r="A5173" s="1">
        <v>1238</v>
      </c>
      <c r="B5173" s="1" t="s">
        <v>28</v>
      </c>
      <c r="C5173" s="1" t="s">
        <v>151</v>
      </c>
      <c r="D5173" s="1">
        <v>1</v>
      </c>
      <c r="E5173" s="1" t="s">
        <v>4</v>
      </c>
      <c r="F5173" s="2">
        <v>20700</v>
      </c>
      <c r="G5173" s="2" t="s">
        <v>667</v>
      </c>
      <c r="H5173" s="1" t="str">
        <f t="shared" si="172"/>
        <v>平成22年2月26日</v>
      </c>
      <c r="I5173" s="22">
        <f t="shared" si="171"/>
        <v>40235</v>
      </c>
      <c r="J5173" s="1" t="str">
        <f>"00738863"</f>
        <v>00738863</v>
      </c>
      <c r="K5173" s="1" t="str">
        <f>"１８６４　　　　　　　　　　　　　　　　"</f>
        <v>１８６４　　　　　　　　　　　　　　　　</v>
      </c>
      <c r="L5173" s="1"/>
    </row>
    <row r="5174" spans="1:12" ht="18" customHeight="1" x14ac:dyDescent="0.15">
      <c r="A5174" s="1">
        <v>1239</v>
      </c>
      <c r="B5174" s="1" t="s">
        <v>28</v>
      </c>
      <c r="C5174" s="1" t="s">
        <v>151</v>
      </c>
      <c r="D5174" s="1">
        <v>1</v>
      </c>
      <c r="E5174" s="1" t="s">
        <v>4</v>
      </c>
      <c r="F5174" s="2">
        <v>20700</v>
      </c>
      <c r="G5174" s="2" t="s">
        <v>667</v>
      </c>
      <c r="H5174" s="1" t="str">
        <f t="shared" si="172"/>
        <v>平成22年2月26日</v>
      </c>
      <c r="I5174" s="22">
        <f t="shared" si="171"/>
        <v>40235</v>
      </c>
      <c r="J5174" s="1" t="str">
        <f>"00738865"</f>
        <v>00738865</v>
      </c>
      <c r="K5174" s="1" t="str">
        <f>"１８６５　　　　　　　　　　　　　　　　"</f>
        <v>１８６５　　　　　　　　　　　　　　　　</v>
      </c>
      <c r="L5174" s="1"/>
    </row>
    <row r="5175" spans="1:12" ht="18" customHeight="1" x14ac:dyDescent="0.15">
      <c r="A5175" s="1">
        <v>1240</v>
      </c>
      <c r="B5175" s="1" t="s">
        <v>28</v>
      </c>
      <c r="C5175" s="1" t="s">
        <v>151</v>
      </c>
      <c r="D5175" s="1">
        <v>1</v>
      </c>
      <c r="E5175" s="1" t="s">
        <v>4</v>
      </c>
      <c r="F5175" s="2">
        <v>20700</v>
      </c>
      <c r="G5175" s="2" t="s">
        <v>667</v>
      </c>
      <c r="H5175" s="1" t="str">
        <f t="shared" si="172"/>
        <v>平成22年2月26日</v>
      </c>
      <c r="I5175" s="22">
        <f t="shared" si="171"/>
        <v>40235</v>
      </c>
      <c r="J5175" s="1" t="str">
        <f>"00738867"</f>
        <v>00738867</v>
      </c>
      <c r="K5175" s="1" t="str">
        <f>"１８６６　　　　　　　　　　　　　　　　"</f>
        <v>１８６６　　　　　　　　　　　　　　　　</v>
      </c>
      <c r="L5175" s="1"/>
    </row>
    <row r="5176" spans="1:12" ht="18" customHeight="1" x14ac:dyDescent="0.15">
      <c r="A5176" s="1">
        <v>1241</v>
      </c>
      <c r="B5176" s="1" t="s">
        <v>28</v>
      </c>
      <c r="C5176" s="1" t="s">
        <v>151</v>
      </c>
      <c r="D5176" s="1">
        <v>1</v>
      </c>
      <c r="E5176" s="1" t="s">
        <v>4</v>
      </c>
      <c r="F5176" s="2">
        <v>20700</v>
      </c>
      <c r="G5176" s="2" t="s">
        <v>667</v>
      </c>
      <c r="H5176" s="1" t="str">
        <f t="shared" si="172"/>
        <v>平成22年2月26日</v>
      </c>
      <c r="I5176" s="22">
        <f t="shared" si="171"/>
        <v>40235</v>
      </c>
      <c r="J5176" s="1" t="str">
        <f>"00738869"</f>
        <v>00738869</v>
      </c>
      <c r="K5176" s="1" t="str">
        <f>"１８６７　　　　　　　　　　　　　　　　"</f>
        <v>１８６７　　　　　　　　　　　　　　　　</v>
      </c>
      <c r="L5176" s="1"/>
    </row>
    <row r="5177" spans="1:12" ht="18" customHeight="1" x14ac:dyDescent="0.15">
      <c r="A5177" s="1">
        <v>1242</v>
      </c>
      <c r="B5177" s="1" t="s">
        <v>28</v>
      </c>
      <c r="C5177" s="1" t="s">
        <v>151</v>
      </c>
      <c r="D5177" s="1">
        <v>1</v>
      </c>
      <c r="E5177" s="1" t="s">
        <v>4</v>
      </c>
      <c r="F5177" s="2">
        <v>20700</v>
      </c>
      <c r="G5177" s="2" t="s">
        <v>667</v>
      </c>
      <c r="H5177" s="1" t="str">
        <f t="shared" si="172"/>
        <v>平成22年2月26日</v>
      </c>
      <c r="I5177" s="22">
        <f t="shared" si="171"/>
        <v>40235</v>
      </c>
      <c r="J5177" s="1" t="str">
        <f>"00738871"</f>
        <v>00738871</v>
      </c>
      <c r="K5177" s="1" t="str">
        <f>"１８６８　　　　　　　　　　　　　　　　"</f>
        <v>１８６８　　　　　　　　　　　　　　　　</v>
      </c>
      <c r="L5177" s="1"/>
    </row>
    <row r="5178" spans="1:12" ht="18" customHeight="1" x14ac:dyDescent="0.15">
      <c r="A5178" s="1">
        <v>1243</v>
      </c>
      <c r="B5178" s="1" t="s">
        <v>28</v>
      </c>
      <c r="C5178" s="1" t="s">
        <v>151</v>
      </c>
      <c r="D5178" s="1">
        <v>1</v>
      </c>
      <c r="E5178" s="1" t="s">
        <v>4</v>
      </c>
      <c r="F5178" s="2">
        <v>20700</v>
      </c>
      <c r="G5178" s="2" t="s">
        <v>667</v>
      </c>
      <c r="H5178" s="1" t="str">
        <f t="shared" si="172"/>
        <v>平成22年2月26日</v>
      </c>
      <c r="I5178" s="22">
        <f t="shared" si="171"/>
        <v>40235</v>
      </c>
      <c r="J5178" s="1" t="str">
        <f>"00738873"</f>
        <v>00738873</v>
      </c>
      <c r="K5178" s="1" t="str">
        <f>"１８６９　　　　　　　　　　　　　　　　"</f>
        <v>１８６９　　　　　　　　　　　　　　　　</v>
      </c>
      <c r="L5178" s="1"/>
    </row>
    <row r="5179" spans="1:12" ht="18" customHeight="1" x14ac:dyDescent="0.15">
      <c r="A5179" s="1">
        <v>1244</v>
      </c>
      <c r="B5179" s="1" t="s">
        <v>28</v>
      </c>
      <c r="C5179" s="1" t="s">
        <v>151</v>
      </c>
      <c r="D5179" s="1">
        <v>1</v>
      </c>
      <c r="E5179" s="1" t="s">
        <v>4</v>
      </c>
      <c r="F5179" s="2">
        <v>20700</v>
      </c>
      <c r="G5179" s="2" t="s">
        <v>667</v>
      </c>
      <c r="H5179" s="1" t="str">
        <f t="shared" si="172"/>
        <v>平成22年2月26日</v>
      </c>
      <c r="I5179" s="22">
        <f t="shared" si="171"/>
        <v>40235</v>
      </c>
      <c r="J5179" s="1" t="str">
        <f>"00738875"</f>
        <v>00738875</v>
      </c>
      <c r="K5179" s="1" t="str">
        <f>"１８７０　　　　　　　　　　　　　　　　"</f>
        <v>１８７０　　　　　　　　　　　　　　　　</v>
      </c>
      <c r="L5179" s="1"/>
    </row>
    <row r="5180" spans="1:12" ht="18" customHeight="1" x14ac:dyDescent="0.15">
      <c r="A5180" s="1">
        <v>1245</v>
      </c>
      <c r="B5180" s="1" t="s">
        <v>28</v>
      </c>
      <c r="C5180" s="1" t="s">
        <v>151</v>
      </c>
      <c r="D5180" s="1">
        <v>1</v>
      </c>
      <c r="E5180" s="1" t="s">
        <v>4</v>
      </c>
      <c r="F5180" s="2">
        <v>20700</v>
      </c>
      <c r="G5180" s="2" t="s">
        <v>667</v>
      </c>
      <c r="H5180" s="1" t="str">
        <f t="shared" si="172"/>
        <v>平成22年2月26日</v>
      </c>
      <c r="I5180" s="22">
        <f t="shared" si="171"/>
        <v>40235</v>
      </c>
      <c r="J5180" s="1" t="str">
        <f>"00738877"</f>
        <v>00738877</v>
      </c>
      <c r="K5180" s="1" t="str">
        <f>"１８７１　　　　　　　　　　　　　　　　"</f>
        <v>１８７１　　　　　　　　　　　　　　　　</v>
      </c>
      <c r="L5180" s="1"/>
    </row>
    <row r="5181" spans="1:12" ht="18" customHeight="1" x14ac:dyDescent="0.15">
      <c r="A5181" s="1">
        <v>1246</v>
      </c>
      <c r="B5181" s="1" t="s">
        <v>28</v>
      </c>
      <c r="C5181" s="1" t="s">
        <v>151</v>
      </c>
      <c r="D5181" s="1">
        <v>1</v>
      </c>
      <c r="E5181" s="1" t="s">
        <v>4</v>
      </c>
      <c r="F5181" s="2">
        <v>20700</v>
      </c>
      <c r="G5181" s="2" t="s">
        <v>667</v>
      </c>
      <c r="H5181" s="1" t="str">
        <f t="shared" si="172"/>
        <v>平成22年2月26日</v>
      </c>
      <c r="I5181" s="22">
        <f t="shared" si="171"/>
        <v>40235</v>
      </c>
      <c r="J5181" s="1" t="str">
        <f>"00738879"</f>
        <v>00738879</v>
      </c>
      <c r="K5181" s="1" t="str">
        <f>"１８７２　　　　　　　　　　　　　　　　"</f>
        <v>１８７２　　　　　　　　　　　　　　　　</v>
      </c>
      <c r="L5181" s="1"/>
    </row>
    <row r="5182" spans="1:12" ht="18" customHeight="1" x14ac:dyDescent="0.15">
      <c r="A5182" s="1">
        <v>1247</v>
      </c>
      <c r="B5182" s="1" t="s">
        <v>28</v>
      </c>
      <c r="C5182" s="1" t="s">
        <v>151</v>
      </c>
      <c r="D5182" s="1">
        <v>1</v>
      </c>
      <c r="E5182" s="1" t="s">
        <v>4</v>
      </c>
      <c r="F5182" s="2">
        <v>20700</v>
      </c>
      <c r="G5182" s="2" t="s">
        <v>667</v>
      </c>
      <c r="H5182" s="1" t="str">
        <f t="shared" si="172"/>
        <v>平成22年2月26日</v>
      </c>
      <c r="I5182" s="22">
        <f t="shared" si="171"/>
        <v>40235</v>
      </c>
      <c r="J5182" s="1" t="str">
        <f>"00738881"</f>
        <v>00738881</v>
      </c>
      <c r="K5182" s="1" t="str">
        <f>"１８７３　　　　　　　　　　　　　　　　"</f>
        <v>１８７３　　　　　　　　　　　　　　　　</v>
      </c>
      <c r="L5182" s="1"/>
    </row>
    <row r="5183" spans="1:12" ht="18" customHeight="1" x14ac:dyDescent="0.15">
      <c r="A5183" s="1">
        <v>1248</v>
      </c>
      <c r="B5183" s="1" t="s">
        <v>28</v>
      </c>
      <c r="C5183" s="1" t="s">
        <v>151</v>
      </c>
      <c r="D5183" s="1">
        <v>1</v>
      </c>
      <c r="E5183" s="1" t="s">
        <v>4</v>
      </c>
      <c r="F5183" s="2">
        <v>20700</v>
      </c>
      <c r="G5183" s="2" t="s">
        <v>667</v>
      </c>
      <c r="H5183" s="1" t="str">
        <f t="shared" si="172"/>
        <v>平成22年2月26日</v>
      </c>
      <c r="I5183" s="22">
        <f t="shared" si="171"/>
        <v>40235</v>
      </c>
      <c r="J5183" s="1" t="str">
        <f>"00738883"</f>
        <v>00738883</v>
      </c>
      <c r="K5183" s="1" t="str">
        <f>"１８７４　　　　　　　　　　　　　　　　"</f>
        <v>１８７４　　　　　　　　　　　　　　　　</v>
      </c>
      <c r="L5183" s="1"/>
    </row>
    <row r="5184" spans="1:12" ht="18" customHeight="1" x14ac:dyDescent="0.15">
      <c r="A5184" s="1">
        <v>1249</v>
      </c>
      <c r="B5184" s="1" t="s">
        <v>28</v>
      </c>
      <c r="C5184" s="1" t="s">
        <v>151</v>
      </c>
      <c r="D5184" s="1">
        <v>1</v>
      </c>
      <c r="E5184" s="1" t="s">
        <v>4</v>
      </c>
      <c r="F5184" s="2">
        <v>20700</v>
      </c>
      <c r="G5184" s="2" t="s">
        <v>667</v>
      </c>
      <c r="H5184" s="1" t="str">
        <f t="shared" si="172"/>
        <v>平成22年2月26日</v>
      </c>
      <c r="I5184" s="22">
        <f t="shared" si="171"/>
        <v>40235</v>
      </c>
      <c r="J5184" s="1" t="str">
        <f>"00738885"</f>
        <v>00738885</v>
      </c>
      <c r="K5184" s="1" t="str">
        <f>"１８７５　　　　　　　　　　　　　　　　"</f>
        <v>１８７５　　　　　　　　　　　　　　　　</v>
      </c>
      <c r="L5184" s="1"/>
    </row>
    <row r="5185" spans="1:12" ht="18" customHeight="1" x14ac:dyDescent="0.15">
      <c r="A5185" s="1">
        <v>1250</v>
      </c>
      <c r="B5185" s="1" t="s">
        <v>28</v>
      </c>
      <c r="C5185" s="1" t="s">
        <v>151</v>
      </c>
      <c r="D5185" s="1">
        <v>1</v>
      </c>
      <c r="E5185" s="1" t="s">
        <v>4</v>
      </c>
      <c r="F5185" s="2">
        <v>20700</v>
      </c>
      <c r="G5185" s="2" t="s">
        <v>667</v>
      </c>
      <c r="H5185" s="1" t="str">
        <f t="shared" si="172"/>
        <v>平成22年2月26日</v>
      </c>
      <c r="I5185" s="22">
        <f t="shared" si="171"/>
        <v>40235</v>
      </c>
      <c r="J5185" s="1" t="str">
        <f>"00738887"</f>
        <v>00738887</v>
      </c>
      <c r="K5185" s="1" t="str">
        <f>"１８７６　　　　　　　　　　　　　　　　"</f>
        <v>１８７６　　　　　　　　　　　　　　　　</v>
      </c>
      <c r="L5185" s="1"/>
    </row>
    <row r="5186" spans="1:12" ht="18" customHeight="1" x14ac:dyDescent="0.15">
      <c r="A5186" s="1">
        <v>1251</v>
      </c>
      <c r="B5186" s="1" t="s">
        <v>28</v>
      </c>
      <c r="C5186" s="1" t="s">
        <v>151</v>
      </c>
      <c r="D5186" s="1">
        <v>1</v>
      </c>
      <c r="E5186" s="1" t="s">
        <v>4</v>
      </c>
      <c r="F5186" s="2">
        <v>20700</v>
      </c>
      <c r="G5186" s="2" t="s">
        <v>667</v>
      </c>
      <c r="H5186" s="1" t="str">
        <f t="shared" si="172"/>
        <v>平成22年2月26日</v>
      </c>
      <c r="I5186" s="22">
        <f t="shared" si="171"/>
        <v>40235</v>
      </c>
      <c r="J5186" s="1" t="str">
        <f>"00738889"</f>
        <v>00738889</v>
      </c>
      <c r="K5186" s="1" t="str">
        <f>"１８７７　　　　　　　　　　　　　　　　"</f>
        <v>１８７７　　　　　　　　　　　　　　　　</v>
      </c>
      <c r="L5186" s="1"/>
    </row>
    <row r="5187" spans="1:12" ht="18" customHeight="1" x14ac:dyDescent="0.15">
      <c r="A5187" s="1">
        <v>1252</v>
      </c>
      <c r="B5187" s="1" t="s">
        <v>28</v>
      </c>
      <c r="C5187" s="1" t="s">
        <v>151</v>
      </c>
      <c r="D5187" s="1">
        <v>1</v>
      </c>
      <c r="E5187" s="1" t="s">
        <v>4</v>
      </c>
      <c r="F5187" s="2">
        <v>20700</v>
      </c>
      <c r="G5187" s="2" t="s">
        <v>667</v>
      </c>
      <c r="H5187" s="1" t="str">
        <f t="shared" si="172"/>
        <v>平成22年2月26日</v>
      </c>
      <c r="I5187" s="22">
        <f t="shared" si="171"/>
        <v>40235</v>
      </c>
      <c r="J5187" s="1" t="str">
        <f>"00738891"</f>
        <v>00738891</v>
      </c>
      <c r="K5187" s="1" t="str">
        <f>"１８７８　　　　　　　　　　　　　　　　"</f>
        <v>１８７８　　　　　　　　　　　　　　　　</v>
      </c>
      <c r="L5187" s="1"/>
    </row>
    <row r="5188" spans="1:12" ht="18" customHeight="1" x14ac:dyDescent="0.15">
      <c r="A5188" s="1">
        <v>1253</v>
      </c>
      <c r="B5188" s="1" t="s">
        <v>28</v>
      </c>
      <c r="C5188" s="1" t="s">
        <v>151</v>
      </c>
      <c r="D5188" s="1">
        <v>1</v>
      </c>
      <c r="E5188" s="1" t="s">
        <v>4</v>
      </c>
      <c r="F5188" s="2">
        <v>20700</v>
      </c>
      <c r="G5188" s="2" t="s">
        <v>667</v>
      </c>
      <c r="H5188" s="1" t="str">
        <f t="shared" si="172"/>
        <v>平成22年2月26日</v>
      </c>
      <c r="I5188" s="22">
        <f t="shared" si="171"/>
        <v>40235</v>
      </c>
      <c r="J5188" s="1" t="str">
        <f>"00738893"</f>
        <v>00738893</v>
      </c>
      <c r="K5188" s="1" t="str">
        <f>"１８７９　　　　　　　　　　　　　　　　"</f>
        <v>１８７９　　　　　　　　　　　　　　　　</v>
      </c>
      <c r="L5188" s="1"/>
    </row>
    <row r="5189" spans="1:12" ht="18" customHeight="1" x14ac:dyDescent="0.15">
      <c r="A5189" s="1">
        <v>1254</v>
      </c>
      <c r="B5189" s="1" t="s">
        <v>28</v>
      </c>
      <c r="C5189" s="1" t="s">
        <v>151</v>
      </c>
      <c r="D5189" s="1">
        <v>1</v>
      </c>
      <c r="E5189" s="1" t="s">
        <v>4</v>
      </c>
      <c r="F5189" s="2">
        <v>20700</v>
      </c>
      <c r="G5189" s="2" t="s">
        <v>667</v>
      </c>
      <c r="H5189" s="1" t="str">
        <f t="shared" si="172"/>
        <v>平成22年2月26日</v>
      </c>
      <c r="I5189" s="22">
        <f t="shared" si="171"/>
        <v>40235</v>
      </c>
      <c r="J5189" s="1" t="str">
        <f>"00738895"</f>
        <v>00738895</v>
      </c>
      <c r="K5189" s="1" t="str">
        <f>"１８８０　　　　　　　　　　　　　　　　"</f>
        <v>１８８０　　　　　　　　　　　　　　　　</v>
      </c>
      <c r="L5189" s="1"/>
    </row>
    <row r="5190" spans="1:12" ht="18" customHeight="1" x14ac:dyDescent="0.15">
      <c r="A5190" s="1">
        <v>1255</v>
      </c>
      <c r="B5190" s="1" t="s">
        <v>28</v>
      </c>
      <c r="C5190" s="1" t="s">
        <v>151</v>
      </c>
      <c r="D5190" s="1">
        <v>1</v>
      </c>
      <c r="E5190" s="1" t="s">
        <v>4</v>
      </c>
      <c r="F5190" s="2">
        <v>20700</v>
      </c>
      <c r="G5190" s="2" t="s">
        <v>667</v>
      </c>
      <c r="H5190" s="1" t="str">
        <f t="shared" si="172"/>
        <v>平成22年2月26日</v>
      </c>
      <c r="I5190" s="22">
        <f t="shared" si="171"/>
        <v>40235</v>
      </c>
      <c r="J5190" s="1" t="str">
        <f>"00738897"</f>
        <v>00738897</v>
      </c>
      <c r="K5190" s="1" t="str">
        <f>"１８８１　　　　　　　　　　　　　　　　"</f>
        <v>１８８１　　　　　　　　　　　　　　　　</v>
      </c>
      <c r="L5190" s="1"/>
    </row>
    <row r="5191" spans="1:12" ht="18" customHeight="1" x14ac:dyDescent="0.15">
      <c r="A5191" s="1">
        <v>1256</v>
      </c>
      <c r="B5191" s="1" t="s">
        <v>28</v>
      </c>
      <c r="C5191" s="1" t="s">
        <v>151</v>
      </c>
      <c r="D5191" s="1">
        <v>1</v>
      </c>
      <c r="E5191" s="1" t="s">
        <v>4</v>
      </c>
      <c r="F5191" s="2">
        <v>20700</v>
      </c>
      <c r="G5191" s="2" t="s">
        <v>667</v>
      </c>
      <c r="H5191" s="1" t="str">
        <f t="shared" si="172"/>
        <v>平成22年2月26日</v>
      </c>
      <c r="I5191" s="22">
        <f t="shared" si="171"/>
        <v>40235</v>
      </c>
      <c r="J5191" s="1" t="str">
        <f>"00738899"</f>
        <v>00738899</v>
      </c>
      <c r="K5191" s="1" t="str">
        <f>"１８８２　　　　　　　　　　　　　　　　"</f>
        <v>１８８２　　　　　　　　　　　　　　　　</v>
      </c>
      <c r="L5191" s="1"/>
    </row>
    <row r="5192" spans="1:12" ht="18" customHeight="1" x14ac:dyDescent="0.15">
      <c r="A5192" s="1">
        <v>1257</v>
      </c>
      <c r="B5192" s="1" t="s">
        <v>28</v>
      </c>
      <c r="C5192" s="1" t="s">
        <v>151</v>
      </c>
      <c r="D5192" s="1">
        <v>1</v>
      </c>
      <c r="E5192" s="1" t="s">
        <v>4</v>
      </c>
      <c r="F5192" s="2">
        <v>20700</v>
      </c>
      <c r="G5192" s="2" t="s">
        <v>667</v>
      </c>
      <c r="H5192" s="1" t="str">
        <f t="shared" si="172"/>
        <v>平成22年2月26日</v>
      </c>
      <c r="I5192" s="22">
        <f t="shared" si="171"/>
        <v>40235</v>
      </c>
      <c r="J5192" s="1" t="str">
        <f>"00738901"</f>
        <v>00738901</v>
      </c>
      <c r="K5192" s="1" t="str">
        <f>"１８８３　　　　　　　　　　　　　　　　"</f>
        <v>１８８３　　　　　　　　　　　　　　　　</v>
      </c>
      <c r="L5192" s="1"/>
    </row>
    <row r="5193" spans="1:12" ht="18" customHeight="1" x14ac:dyDescent="0.15">
      <c r="A5193" s="1">
        <v>1258</v>
      </c>
      <c r="B5193" s="1" t="s">
        <v>28</v>
      </c>
      <c r="C5193" s="1" t="s">
        <v>151</v>
      </c>
      <c r="D5193" s="1">
        <v>1</v>
      </c>
      <c r="E5193" s="1" t="s">
        <v>4</v>
      </c>
      <c r="F5193" s="2">
        <v>20700</v>
      </c>
      <c r="G5193" s="2" t="s">
        <v>667</v>
      </c>
      <c r="H5193" s="1" t="str">
        <f t="shared" si="172"/>
        <v>平成22年2月26日</v>
      </c>
      <c r="I5193" s="22">
        <f t="shared" si="171"/>
        <v>40235</v>
      </c>
      <c r="J5193" s="1" t="str">
        <f>"00738903"</f>
        <v>00738903</v>
      </c>
      <c r="K5193" s="1" t="str">
        <f>"１８８４　　　　　　　　　　　　　　　　"</f>
        <v>１８８４　　　　　　　　　　　　　　　　</v>
      </c>
      <c r="L5193" s="1"/>
    </row>
    <row r="5194" spans="1:12" ht="18" customHeight="1" x14ac:dyDescent="0.15">
      <c r="A5194" s="1">
        <v>1259</v>
      </c>
      <c r="B5194" s="1" t="s">
        <v>28</v>
      </c>
      <c r="C5194" s="1" t="s">
        <v>151</v>
      </c>
      <c r="D5194" s="1">
        <v>1</v>
      </c>
      <c r="E5194" s="1" t="s">
        <v>4</v>
      </c>
      <c r="F5194" s="2">
        <v>20700</v>
      </c>
      <c r="G5194" s="2" t="s">
        <v>667</v>
      </c>
      <c r="H5194" s="1" t="str">
        <f t="shared" si="172"/>
        <v>平成22年2月26日</v>
      </c>
      <c r="I5194" s="22">
        <f t="shared" si="171"/>
        <v>40235</v>
      </c>
      <c r="J5194" s="1" t="str">
        <f>"00738905"</f>
        <v>00738905</v>
      </c>
      <c r="K5194" s="1" t="str">
        <f>"１８８５　　　　　　　　　　　　　　　　"</f>
        <v>１８８５　　　　　　　　　　　　　　　　</v>
      </c>
      <c r="L5194" s="1"/>
    </row>
    <row r="5195" spans="1:12" ht="18" customHeight="1" x14ac:dyDescent="0.15">
      <c r="A5195" s="1">
        <v>1260</v>
      </c>
      <c r="B5195" s="1" t="s">
        <v>28</v>
      </c>
      <c r="C5195" s="1" t="s">
        <v>151</v>
      </c>
      <c r="D5195" s="1">
        <v>1</v>
      </c>
      <c r="E5195" s="1" t="s">
        <v>4</v>
      </c>
      <c r="F5195" s="2">
        <v>20700</v>
      </c>
      <c r="G5195" s="2" t="s">
        <v>667</v>
      </c>
      <c r="H5195" s="1" t="str">
        <f t="shared" si="172"/>
        <v>平成22年2月26日</v>
      </c>
      <c r="I5195" s="22">
        <f t="shared" si="171"/>
        <v>40235</v>
      </c>
      <c r="J5195" s="1" t="str">
        <f>"00738907"</f>
        <v>00738907</v>
      </c>
      <c r="K5195" s="1" t="str">
        <f>"１８８６　　　　　　　　　　　　　　　　"</f>
        <v>１８８６　　　　　　　　　　　　　　　　</v>
      </c>
      <c r="L5195" s="1"/>
    </row>
    <row r="5196" spans="1:12" ht="18" customHeight="1" x14ac:dyDescent="0.15">
      <c r="A5196" s="1">
        <v>1261</v>
      </c>
      <c r="B5196" s="1" t="s">
        <v>28</v>
      </c>
      <c r="C5196" s="1" t="s">
        <v>151</v>
      </c>
      <c r="D5196" s="1">
        <v>1</v>
      </c>
      <c r="E5196" s="1" t="s">
        <v>4</v>
      </c>
      <c r="F5196" s="2">
        <v>20700</v>
      </c>
      <c r="G5196" s="2" t="s">
        <v>667</v>
      </c>
      <c r="H5196" s="1" t="str">
        <f t="shared" si="172"/>
        <v>平成22年2月26日</v>
      </c>
      <c r="I5196" s="22">
        <f t="shared" si="171"/>
        <v>40235</v>
      </c>
      <c r="J5196" s="1" t="str">
        <f>"00738909"</f>
        <v>00738909</v>
      </c>
      <c r="K5196" s="1" t="str">
        <f>"１８８７　　　　　　　　　　　　　　　　"</f>
        <v>１８８７　　　　　　　　　　　　　　　　</v>
      </c>
      <c r="L5196" s="1"/>
    </row>
    <row r="5197" spans="1:12" ht="18" customHeight="1" x14ac:dyDescent="0.15">
      <c r="A5197" s="1">
        <v>1262</v>
      </c>
      <c r="B5197" s="1" t="s">
        <v>28</v>
      </c>
      <c r="C5197" s="1" t="s">
        <v>151</v>
      </c>
      <c r="D5197" s="1">
        <v>1</v>
      </c>
      <c r="E5197" s="1" t="s">
        <v>4</v>
      </c>
      <c r="F5197" s="2">
        <v>20700</v>
      </c>
      <c r="G5197" s="2" t="s">
        <v>667</v>
      </c>
      <c r="H5197" s="1" t="str">
        <f t="shared" si="172"/>
        <v>平成22年2月26日</v>
      </c>
      <c r="I5197" s="22">
        <f t="shared" si="171"/>
        <v>40235</v>
      </c>
      <c r="J5197" s="1" t="str">
        <f>"00738911"</f>
        <v>00738911</v>
      </c>
      <c r="K5197" s="1" t="str">
        <f>"１８８８　　　　　　　　　　　　　　　　"</f>
        <v>１８８８　　　　　　　　　　　　　　　　</v>
      </c>
      <c r="L5197" s="1"/>
    </row>
    <row r="5198" spans="1:12" ht="18" customHeight="1" x14ac:dyDescent="0.15">
      <c r="A5198" s="1">
        <v>1263</v>
      </c>
      <c r="B5198" s="1" t="s">
        <v>28</v>
      </c>
      <c r="C5198" s="1" t="s">
        <v>151</v>
      </c>
      <c r="D5198" s="1">
        <v>1</v>
      </c>
      <c r="E5198" s="1" t="s">
        <v>4</v>
      </c>
      <c r="F5198" s="2">
        <v>20700</v>
      </c>
      <c r="G5198" s="2" t="s">
        <v>667</v>
      </c>
      <c r="H5198" s="1" t="str">
        <f t="shared" si="172"/>
        <v>平成22年2月26日</v>
      </c>
      <c r="I5198" s="22">
        <f t="shared" si="171"/>
        <v>40235</v>
      </c>
      <c r="J5198" s="1" t="str">
        <f>"00738913"</f>
        <v>00738913</v>
      </c>
      <c r="K5198" s="1" t="str">
        <f>"１８８９　　　　　　　　　　　　　　　　"</f>
        <v>１８８９　　　　　　　　　　　　　　　　</v>
      </c>
      <c r="L5198" s="1"/>
    </row>
    <row r="5199" spans="1:12" ht="18" customHeight="1" x14ac:dyDescent="0.15">
      <c r="A5199" s="1">
        <v>1264</v>
      </c>
      <c r="B5199" s="1" t="s">
        <v>28</v>
      </c>
      <c r="C5199" s="1" t="s">
        <v>151</v>
      </c>
      <c r="D5199" s="1">
        <v>1</v>
      </c>
      <c r="E5199" s="1" t="s">
        <v>4</v>
      </c>
      <c r="F5199" s="2">
        <v>20700</v>
      </c>
      <c r="G5199" s="2" t="s">
        <v>667</v>
      </c>
      <c r="H5199" s="1" t="str">
        <f t="shared" si="172"/>
        <v>平成22年2月26日</v>
      </c>
      <c r="I5199" s="22">
        <f t="shared" si="171"/>
        <v>40235</v>
      </c>
      <c r="J5199" s="1" t="str">
        <f>"00738915"</f>
        <v>00738915</v>
      </c>
      <c r="K5199" s="1" t="str">
        <f>"１８９０　　　　　　　　　　　　　　　　"</f>
        <v>１８９０　　　　　　　　　　　　　　　　</v>
      </c>
      <c r="L5199" s="1"/>
    </row>
    <row r="5200" spans="1:12" ht="18" customHeight="1" x14ac:dyDescent="0.15">
      <c r="A5200" s="1">
        <v>1265</v>
      </c>
      <c r="B5200" s="1" t="s">
        <v>28</v>
      </c>
      <c r="C5200" s="1" t="s">
        <v>151</v>
      </c>
      <c r="D5200" s="1">
        <v>1</v>
      </c>
      <c r="E5200" s="1" t="s">
        <v>4</v>
      </c>
      <c r="F5200" s="2">
        <v>20700</v>
      </c>
      <c r="G5200" s="2" t="s">
        <v>667</v>
      </c>
      <c r="H5200" s="1" t="str">
        <f t="shared" si="172"/>
        <v>平成22年2月26日</v>
      </c>
      <c r="I5200" s="22">
        <f t="shared" si="171"/>
        <v>40235</v>
      </c>
      <c r="J5200" s="1" t="str">
        <f>"00738917"</f>
        <v>00738917</v>
      </c>
      <c r="K5200" s="1" t="str">
        <f>"１８９１　　　　　　　　　　　　　　　　"</f>
        <v>１８９１　　　　　　　　　　　　　　　　</v>
      </c>
      <c r="L5200" s="1"/>
    </row>
    <row r="5201" spans="1:12" ht="18" customHeight="1" x14ac:dyDescent="0.15">
      <c r="A5201" s="1">
        <v>1266</v>
      </c>
      <c r="B5201" s="1" t="s">
        <v>28</v>
      </c>
      <c r="C5201" s="1" t="s">
        <v>151</v>
      </c>
      <c r="D5201" s="1">
        <v>1</v>
      </c>
      <c r="E5201" s="1" t="s">
        <v>4</v>
      </c>
      <c r="F5201" s="2">
        <v>20700</v>
      </c>
      <c r="G5201" s="2" t="s">
        <v>667</v>
      </c>
      <c r="H5201" s="1" t="str">
        <f t="shared" si="172"/>
        <v>平成22年2月26日</v>
      </c>
      <c r="I5201" s="22">
        <f t="shared" si="171"/>
        <v>40235</v>
      </c>
      <c r="J5201" s="1" t="str">
        <f>"00738919"</f>
        <v>00738919</v>
      </c>
      <c r="K5201" s="1" t="str">
        <f>"１８９２　　　　　　　　　　　　　　　　"</f>
        <v>１８９２　　　　　　　　　　　　　　　　</v>
      </c>
      <c r="L5201" s="1"/>
    </row>
    <row r="5202" spans="1:12" ht="18" customHeight="1" x14ac:dyDescent="0.15">
      <c r="A5202" s="1">
        <v>1267</v>
      </c>
      <c r="B5202" s="1" t="s">
        <v>28</v>
      </c>
      <c r="C5202" s="1" t="s">
        <v>151</v>
      </c>
      <c r="D5202" s="1">
        <v>1</v>
      </c>
      <c r="E5202" s="1" t="s">
        <v>4</v>
      </c>
      <c r="F5202" s="2">
        <v>20700</v>
      </c>
      <c r="G5202" s="2" t="s">
        <v>667</v>
      </c>
      <c r="H5202" s="1" t="str">
        <f t="shared" si="172"/>
        <v>平成22年2月26日</v>
      </c>
      <c r="I5202" s="22">
        <f t="shared" si="171"/>
        <v>40235</v>
      </c>
      <c r="J5202" s="1" t="str">
        <f>"00738921"</f>
        <v>00738921</v>
      </c>
      <c r="K5202" s="1" t="str">
        <f>"１８９３　　　　　　　　　　　　　　　　"</f>
        <v>１８９３　　　　　　　　　　　　　　　　</v>
      </c>
      <c r="L5202" s="1"/>
    </row>
    <row r="5203" spans="1:12" ht="18" customHeight="1" x14ac:dyDescent="0.15">
      <c r="A5203" s="1">
        <v>1268</v>
      </c>
      <c r="B5203" s="1" t="s">
        <v>28</v>
      </c>
      <c r="C5203" s="1" t="s">
        <v>151</v>
      </c>
      <c r="D5203" s="1">
        <v>1</v>
      </c>
      <c r="E5203" s="1" t="s">
        <v>4</v>
      </c>
      <c r="F5203" s="2">
        <v>20700</v>
      </c>
      <c r="G5203" s="2" t="s">
        <v>667</v>
      </c>
      <c r="H5203" s="1" t="str">
        <f t="shared" si="172"/>
        <v>平成22年2月26日</v>
      </c>
      <c r="I5203" s="22">
        <f t="shared" si="171"/>
        <v>40235</v>
      </c>
      <c r="J5203" s="1" t="str">
        <f>"00738923"</f>
        <v>00738923</v>
      </c>
      <c r="K5203" s="1" t="str">
        <f>"１８９４　　　　　　　　　　　　　　　　"</f>
        <v>１８９４　　　　　　　　　　　　　　　　</v>
      </c>
      <c r="L5203" s="1"/>
    </row>
    <row r="5204" spans="1:12" ht="18" customHeight="1" x14ac:dyDescent="0.15">
      <c r="A5204" s="1">
        <v>1269</v>
      </c>
      <c r="B5204" s="1" t="s">
        <v>28</v>
      </c>
      <c r="C5204" s="1" t="s">
        <v>151</v>
      </c>
      <c r="D5204" s="1">
        <v>1</v>
      </c>
      <c r="E5204" s="1" t="s">
        <v>4</v>
      </c>
      <c r="F5204" s="2">
        <v>20700</v>
      </c>
      <c r="G5204" s="2" t="s">
        <v>667</v>
      </c>
      <c r="H5204" s="1" t="str">
        <f t="shared" si="172"/>
        <v>平成22年2月26日</v>
      </c>
      <c r="I5204" s="22">
        <f t="shared" si="171"/>
        <v>40235</v>
      </c>
      <c r="J5204" s="1" t="str">
        <f>"00738925"</f>
        <v>00738925</v>
      </c>
      <c r="K5204" s="1" t="str">
        <f>"１８９５　　　　　　　　　　　　　　　　"</f>
        <v>１８９５　　　　　　　　　　　　　　　　</v>
      </c>
      <c r="L5204" s="1"/>
    </row>
    <row r="5205" spans="1:12" ht="18" customHeight="1" x14ac:dyDescent="0.15">
      <c r="A5205" s="1">
        <v>1270</v>
      </c>
      <c r="B5205" s="1" t="s">
        <v>28</v>
      </c>
      <c r="C5205" s="1" t="s">
        <v>151</v>
      </c>
      <c r="D5205" s="1">
        <v>1</v>
      </c>
      <c r="E5205" s="1" t="s">
        <v>4</v>
      </c>
      <c r="F5205" s="2">
        <v>20700</v>
      </c>
      <c r="G5205" s="2" t="s">
        <v>667</v>
      </c>
      <c r="H5205" s="1" t="str">
        <f t="shared" si="172"/>
        <v>平成22年2月26日</v>
      </c>
      <c r="I5205" s="22">
        <f t="shared" si="171"/>
        <v>40235</v>
      </c>
      <c r="J5205" s="1" t="str">
        <f>"00738927"</f>
        <v>00738927</v>
      </c>
      <c r="K5205" s="1" t="str">
        <f>"１８９６　　　　　　　　　　　　　　　　"</f>
        <v>１８９６　　　　　　　　　　　　　　　　</v>
      </c>
      <c r="L5205" s="1"/>
    </row>
    <row r="5206" spans="1:12" ht="18" customHeight="1" x14ac:dyDescent="0.15">
      <c r="A5206" s="1">
        <v>1271</v>
      </c>
      <c r="B5206" s="1" t="s">
        <v>28</v>
      </c>
      <c r="C5206" s="1" t="s">
        <v>151</v>
      </c>
      <c r="D5206" s="1">
        <v>1</v>
      </c>
      <c r="E5206" s="1" t="s">
        <v>4</v>
      </c>
      <c r="F5206" s="2">
        <v>20700</v>
      </c>
      <c r="G5206" s="2" t="s">
        <v>667</v>
      </c>
      <c r="H5206" s="1" t="str">
        <f t="shared" si="172"/>
        <v>平成22年2月26日</v>
      </c>
      <c r="I5206" s="22">
        <f t="shared" si="171"/>
        <v>40235</v>
      </c>
      <c r="J5206" s="1" t="str">
        <f>"00738929"</f>
        <v>00738929</v>
      </c>
      <c r="K5206" s="1" t="str">
        <f>"１８９７　　　　　　　　　　　　　　　　"</f>
        <v>１８９７　　　　　　　　　　　　　　　　</v>
      </c>
      <c r="L5206" s="1"/>
    </row>
    <row r="5207" spans="1:12" ht="18" customHeight="1" x14ac:dyDescent="0.15">
      <c r="A5207" s="1">
        <v>1272</v>
      </c>
      <c r="B5207" s="1" t="s">
        <v>28</v>
      </c>
      <c r="C5207" s="1" t="s">
        <v>151</v>
      </c>
      <c r="D5207" s="1">
        <v>1</v>
      </c>
      <c r="E5207" s="1" t="s">
        <v>4</v>
      </c>
      <c r="F5207" s="2">
        <v>20700</v>
      </c>
      <c r="G5207" s="2" t="s">
        <v>667</v>
      </c>
      <c r="H5207" s="1" t="str">
        <f t="shared" si="172"/>
        <v>平成22年2月26日</v>
      </c>
      <c r="I5207" s="22">
        <f t="shared" si="171"/>
        <v>40235</v>
      </c>
      <c r="J5207" s="1" t="str">
        <f>"00738931"</f>
        <v>00738931</v>
      </c>
      <c r="K5207" s="1" t="str">
        <f>"１８９８　　　　　　　　　　　　　　　　"</f>
        <v>１８９８　　　　　　　　　　　　　　　　</v>
      </c>
      <c r="L5207" s="1"/>
    </row>
    <row r="5208" spans="1:12" ht="18" customHeight="1" x14ac:dyDescent="0.15">
      <c r="A5208" s="1">
        <v>1273</v>
      </c>
      <c r="B5208" s="1" t="s">
        <v>28</v>
      </c>
      <c r="C5208" s="1" t="s">
        <v>151</v>
      </c>
      <c r="D5208" s="1">
        <v>1</v>
      </c>
      <c r="E5208" s="1" t="s">
        <v>4</v>
      </c>
      <c r="F5208" s="2">
        <v>20700</v>
      </c>
      <c r="G5208" s="2" t="s">
        <v>667</v>
      </c>
      <c r="H5208" s="1" t="str">
        <f t="shared" si="172"/>
        <v>平成22年2月26日</v>
      </c>
      <c r="I5208" s="22">
        <f t="shared" si="171"/>
        <v>40235</v>
      </c>
      <c r="J5208" s="1" t="str">
        <f>"00738933"</f>
        <v>00738933</v>
      </c>
      <c r="K5208" s="1" t="str">
        <f>"１８９９　　　　　　　　　　　　　　　　"</f>
        <v>１８９９　　　　　　　　　　　　　　　　</v>
      </c>
      <c r="L5208" s="1"/>
    </row>
    <row r="5209" spans="1:12" ht="18" customHeight="1" x14ac:dyDescent="0.15">
      <c r="A5209" s="1">
        <v>1274</v>
      </c>
      <c r="B5209" s="1" t="s">
        <v>28</v>
      </c>
      <c r="C5209" s="1" t="s">
        <v>151</v>
      </c>
      <c r="D5209" s="1">
        <v>1</v>
      </c>
      <c r="E5209" s="1" t="s">
        <v>4</v>
      </c>
      <c r="F5209" s="2">
        <v>20700</v>
      </c>
      <c r="G5209" s="2" t="s">
        <v>667</v>
      </c>
      <c r="H5209" s="1" t="str">
        <f t="shared" si="172"/>
        <v>平成22年2月26日</v>
      </c>
      <c r="I5209" s="22">
        <f t="shared" si="171"/>
        <v>40235</v>
      </c>
      <c r="J5209" s="1" t="str">
        <f>"00738935"</f>
        <v>00738935</v>
      </c>
      <c r="K5209" s="1" t="str">
        <f>"１９００　　　　　　　　　　　　　　　　"</f>
        <v>１９００　　　　　　　　　　　　　　　　</v>
      </c>
      <c r="L5209" s="1"/>
    </row>
    <row r="5210" spans="1:12" ht="18" customHeight="1" x14ac:dyDescent="0.15">
      <c r="A5210" s="1">
        <v>1275</v>
      </c>
      <c r="B5210" s="1" t="s">
        <v>28</v>
      </c>
      <c r="C5210" s="1" t="s">
        <v>151</v>
      </c>
      <c r="D5210" s="1">
        <v>1</v>
      </c>
      <c r="E5210" s="1" t="s">
        <v>4</v>
      </c>
      <c r="F5210" s="2">
        <v>20700</v>
      </c>
      <c r="G5210" s="2" t="s">
        <v>667</v>
      </c>
      <c r="H5210" s="1" t="str">
        <f t="shared" si="172"/>
        <v>平成22年2月26日</v>
      </c>
      <c r="I5210" s="22">
        <f t="shared" ref="I5210:I5273" si="173">DATEVALUE(H5210)</f>
        <v>40235</v>
      </c>
      <c r="J5210" s="1" t="str">
        <f>"00738937"</f>
        <v>00738937</v>
      </c>
      <c r="K5210" s="1" t="str">
        <f>"１９０１　　　　　　　　　　　　　　　　"</f>
        <v>１９０１　　　　　　　　　　　　　　　　</v>
      </c>
      <c r="L5210" s="1"/>
    </row>
    <row r="5211" spans="1:12" ht="18" customHeight="1" x14ac:dyDescent="0.15">
      <c r="A5211" s="1">
        <v>1276</v>
      </c>
      <c r="B5211" s="1" t="s">
        <v>28</v>
      </c>
      <c r="C5211" s="1" t="s">
        <v>151</v>
      </c>
      <c r="D5211" s="1">
        <v>1</v>
      </c>
      <c r="E5211" s="1" t="s">
        <v>4</v>
      </c>
      <c r="F5211" s="2">
        <v>20700</v>
      </c>
      <c r="G5211" s="2" t="s">
        <v>667</v>
      </c>
      <c r="H5211" s="1" t="str">
        <f t="shared" si="172"/>
        <v>平成22年2月26日</v>
      </c>
      <c r="I5211" s="22">
        <f t="shared" si="173"/>
        <v>40235</v>
      </c>
      <c r="J5211" s="1" t="str">
        <f>"00738939"</f>
        <v>00738939</v>
      </c>
      <c r="K5211" s="1" t="str">
        <f>"１９０２　　　　　　　　　　　　　　　　"</f>
        <v>１９０２　　　　　　　　　　　　　　　　</v>
      </c>
      <c r="L5211" s="1"/>
    </row>
    <row r="5212" spans="1:12" ht="18" customHeight="1" x14ac:dyDescent="0.15">
      <c r="A5212" s="1">
        <v>1277</v>
      </c>
      <c r="B5212" s="1" t="s">
        <v>28</v>
      </c>
      <c r="C5212" s="1" t="s">
        <v>151</v>
      </c>
      <c r="D5212" s="1">
        <v>1</v>
      </c>
      <c r="E5212" s="1" t="s">
        <v>4</v>
      </c>
      <c r="F5212" s="2">
        <v>20700</v>
      </c>
      <c r="G5212" s="2" t="s">
        <v>667</v>
      </c>
      <c r="H5212" s="1" t="str">
        <f t="shared" si="172"/>
        <v>平成22年2月26日</v>
      </c>
      <c r="I5212" s="22">
        <f t="shared" si="173"/>
        <v>40235</v>
      </c>
      <c r="J5212" s="1" t="str">
        <f>"00738941"</f>
        <v>00738941</v>
      </c>
      <c r="K5212" s="1" t="str">
        <f>"１９０３　　　　　　　　　　　　　　　　"</f>
        <v>１９０３　　　　　　　　　　　　　　　　</v>
      </c>
      <c r="L5212" s="1"/>
    </row>
    <row r="5213" spans="1:12" ht="18" customHeight="1" x14ac:dyDescent="0.15">
      <c r="A5213" s="1">
        <v>1278</v>
      </c>
      <c r="B5213" s="1" t="s">
        <v>28</v>
      </c>
      <c r="C5213" s="1" t="s">
        <v>151</v>
      </c>
      <c r="D5213" s="1">
        <v>1</v>
      </c>
      <c r="E5213" s="1" t="s">
        <v>4</v>
      </c>
      <c r="F5213" s="2">
        <v>20700</v>
      </c>
      <c r="G5213" s="2" t="s">
        <v>667</v>
      </c>
      <c r="H5213" s="1" t="str">
        <f t="shared" si="172"/>
        <v>平成22年2月26日</v>
      </c>
      <c r="I5213" s="22">
        <f t="shared" si="173"/>
        <v>40235</v>
      </c>
      <c r="J5213" s="1" t="str">
        <f>"00738943"</f>
        <v>00738943</v>
      </c>
      <c r="K5213" s="1" t="str">
        <f>"１９０４　　　　　　　　　　　　　　　　"</f>
        <v>１９０４　　　　　　　　　　　　　　　　</v>
      </c>
      <c r="L5213" s="1"/>
    </row>
    <row r="5214" spans="1:12" ht="18" customHeight="1" x14ac:dyDescent="0.15">
      <c r="A5214" s="1">
        <v>1279</v>
      </c>
      <c r="B5214" s="1" t="s">
        <v>28</v>
      </c>
      <c r="C5214" s="1" t="s">
        <v>151</v>
      </c>
      <c r="D5214" s="1">
        <v>1</v>
      </c>
      <c r="E5214" s="1" t="s">
        <v>4</v>
      </c>
      <c r="F5214" s="2">
        <v>20700</v>
      </c>
      <c r="G5214" s="2" t="s">
        <v>667</v>
      </c>
      <c r="H5214" s="1" t="str">
        <f t="shared" si="172"/>
        <v>平成22年2月26日</v>
      </c>
      <c r="I5214" s="22">
        <f t="shared" si="173"/>
        <v>40235</v>
      </c>
      <c r="J5214" s="1" t="str">
        <f>"00738945"</f>
        <v>00738945</v>
      </c>
      <c r="K5214" s="1" t="str">
        <f>"１９０５　　　　　　　　　　　　　　　　"</f>
        <v>１９０５　　　　　　　　　　　　　　　　</v>
      </c>
      <c r="L5214" s="1"/>
    </row>
    <row r="5215" spans="1:12" ht="18" customHeight="1" x14ac:dyDescent="0.15">
      <c r="A5215" s="1">
        <v>1280</v>
      </c>
      <c r="B5215" s="1" t="s">
        <v>28</v>
      </c>
      <c r="C5215" s="1" t="s">
        <v>151</v>
      </c>
      <c r="D5215" s="1">
        <v>1</v>
      </c>
      <c r="E5215" s="1" t="s">
        <v>4</v>
      </c>
      <c r="F5215" s="2">
        <v>20700</v>
      </c>
      <c r="G5215" s="2" t="s">
        <v>667</v>
      </c>
      <c r="H5215" s="1" t="str">
        <f t="shared" si="172"/>
        <v>平成22年2月26日</v>
      </c>
      <c r="I5215" s="22">
        <f t="shared" si="173"/>
        <v>40235</v>
      </c>
      <c r="J5215" s="1" t="str">
        <f>"00738947"</f>
        <v>00738947</v>
      </c>
      <c r="K5215" s="1" t="str">
        <f>"１９０６　　　　　　　　　　　　　　　　"</f>
        <v>１９０６　　　　　　　　　　　　　　　　</v>
      </c>
      <c r="L5215" s="1"/>
    </row>
    <row r="5216" spans="1:12" ht="18" customHeight="1" x14ac:dyDescent="0.15">
      <c r="A5216" s="1">
        <v>1281</v>
      </c>
      <c r="B5216" s="1" t="s">
        <v>28</v>
      </c>
      <c r="C5216" s="1" t="s">
        <v>151</v>
      </c>
      <c r="D5216" s="1">
        <v>1</v>
      </c>
      <c r="E5216" s="1" t="s">
        <v>4</v>
      </c>
      <c r="F5216" s="2">
        <v>20700</v>
      </c>
      <c r="G5216" s="2" t="s">
        <v>667</v>
      </c>
      <c r="H5216" s="1" t="str">
        <f t="shared" si="172"/>
        <v>平成22年2月26日</v>
      </c>
      <c r="I5216" s="22">
        <f t="shared" si="173"/>
        <v>40235</v>
      </c>
      <c r="J5216" s="1" t="str">
        <f>"00738949"</f>
        <v>00738949</v>
      </c>
      <c r="K5216" s="1" t="str">
        <f>"１９０７　　　　　　　　　　　　　　　　"</f>
        <v>１９０７　　　　　　　　　　　　　　　　</v>
      </c>
      <c r="L5216" s="1"/>
    </row>
    <row r="5217" spans="1:12" ht="18" customHeight="1" x14ac:dyDescent="0.15">
      <c r="A5217" s="1">
        <v>1282</v>
      </c>
      <c r="B5217" s="1" t="s">
        <v>28</v>
      </c>
      <c r="C5217" s="1" t="s">
        <v>151</v>
      </c>
      <c r="D5217" s="1">
        <v>1</v>
      </c>
      <c r="E5217" s="1" t="s">
        <v>4</v>
      </c>
      <c r="F5217" s="2">
        <v>20700</v>
      </c>
      <c r="G5217" s="2" t="s">
        <v>667</v>
      </c>
      <c r="H5217" s="1" t="str">
        <f t="shared" si="172"/>
        <v>平成22年2月26日</v>
      </c>
      <c r="I5217" s="22">
        <f t="shared" si="173"/>
        <v>40235</v>
      </c>
      <c r="J5217" s="1" t="str">
        <f>"00738951"</f>
        <v>00738951</v>
      </c>
      <c r="K5217" s="1" t="str">
        <f>"１９０８　　　　　　　　　　　　　　　　"</f>
        <v>１９０８　　　　　　　　　　　　　　　　</v>
      </c>
      <c r="L5217" s="1"/>
    </row>
    <row r="5218" spans="1:12" ht="18" customHeight="1" x14ac:dyDescent="0.15">
      <c r="A5218" s="1">
        <v>1283</v>
      </c>
      <c r="B5218" s="1" t="s">
        <v>28</v>
      </c>
      <c r="C5218" s="1" t="s">
        <v>151</v>
      </c>
      <c r="D5218" s="1">
        <v>1</v>
      </c>
      <c r="E5218" s="1" t="s">
        <v>4</v>
      </c>
      <c r="F5218" s="2">
        <v>20700</v>
      </c>
      <c r="G5218" s="2" t="s">
        <v>667</v>
      </c>
      <c r="H5218" s="1" t="str">
        <f t="shared" si="172"/>
        <v>平成22年2月26日</v>
      </c>
      <c r="I5218" s="22">
        <f t="shared" si="173"/>
        <v>40235</v>
      </c>
      <c r="J5218" s="1" t="str">
        <f>"00738953"</f>
        <v>00738953</v>
      </c>
      <c r="K5218" s="1" t="str">
        <f>"１９０９　　　　　　　　　　　　　　　　"</f>
        <v>１９０９　　　　　　　　　　　　　　　　</v>
      </c>
      <c r="L5218" s="1"/>
    </row>
    <row r="5219" spans="1:12" ht="18" customHeight="1" x14ac:dyDescent="0.15">
      <c r="A5219" s="1">
        <v>1284</v>
      </c>
      <c r="B5219" s="1" t="s">
        <v>28</v>
      </c>
      <c r="C5219" s="1" t="s">
        <v>151</v>
      </c>
      <c r="D5219" s="1">
        <v>1</v>
      </c>
      <c r="E5219" s="1" t="s">
        <v>4</v>
      </c>
      <c r="F5219" s="2">
        <v>20700</v>
      </c>
      <c r="G5219" s="2" t="s">
        <v>667</v>
      </c>
      <c r="H5219" s="1" t="str">
        <f t="shared" si="172"/>
        <v>平成22年2月26日</v>
      </c>
      <c r="I5219" s="22">
        <f t="shared" si="173"/>
        <v>40235</v>
      </c>
      <c r="J5219" s="1" t="str">
        <f>"00738955"</f>
        <v>00738955</v>
      </c>
      <c r="K5219" s="1" t="str">
        <f>"１９１０　　　　　　　　　　　　　　　　"</f>
        <v>１９１０　　　　　　　　　　　　　　　　</v>
      </c>
      <c r="L5219" s="1"/>
    </row>
    <row r="5220" spans="1:12" ht="18" customHeight="1" x14ac:dyDescent="0.15">
      <c r="A5220" s="1">
        <v>1285</v>
      </c>
      <c r="B5220" s="1" t="s">
        <v>28</v>
      </c>
      <c r="C5220" s="1" t="s">
        <v>151</v>
      </c>
      <c r="D5220" s="1">
        <v>1</v>
      </c>
      <c r="E5220" s="1" t="s">
        <v>4</v>
      </c>
      <c r="F5220" s="2">
        <v>20700</v>
      </c>
      <c r="G5220" s="2" t="s">
        <v>667</v>
      </c>
      <c r="H5220" s="1" t="str">
        <f t="shared" si="172"/>
        <v>平成22年2月26日</v>
      </c>
      <c r="I5220" s="22">
        <f t="shared" si="173"/>
        <v>40235</v>
      </c>
      <c r="J5220" s="1" t="str">
        <f>"00738957"</f>
        <v>00738957</v>
      </c>
      <c r="K5220" s="1" t="str">
        <f>"１９１１　　　　　　　　　　　　　　　　"</f>
        <v>１９１１　　　　　　　　　　　　　　　　</v>
      </c>
      <c r="L5220" s="1"/>
    </row>
    <row r="5221" spans="1:12" ht="18" customHeight="1" x14ac:dyDescent="0.15">
      <c r="A5221" s="1">
        <v>1286</v>
      </c>
      <c r="B5221" s="1" t="s">
        <v>28</v>
      </c>
      <c r="C5221" s="1" t="s">
        <v>151</v>
      </c>
      <c r="D5221" s="1">
        <v>1</v>
      </c>
      <c r="E5221" s="1" t="s">
        <v>4</v>
      </c>
      <c r="F5221" s="2">
        <v>20700</v>
      </c>
      <c r="G5221" s="2" t="s">
        <v>667</v>
      </c>
      <c r="H5221" s="1" t="str">
        <f t="shared" ref="H5221:H5284" si="174">"平成22年2月26日"</f>
        <v>平成22年2月26日</v>
      </c>
      <c r="I5221" s="22">
        <f t="shared" si="173"/>
        <v>40235</v>
      </c>
      <c r="J5221" s="1" t="str">
        <f>"00738959"</f>
        <v>00738959</v>
      </c>
      <c r="K5221" s="1" t="str">
        <f>"１９１２　　　　　　　　　　　　　　　　"</f>
        <v>１９１２　　　　　　　　　　　　　　　　</v>
      </c>
      <c r="L5221" s="1"/>
    </row>
    <row r="5222" spans="1:12" ht="18" customHeight="1" x14ac:dyDescent="0.15">
      <c r="A5222" s="1">
        <v>1287</v>
      </c>
      <c r="B5222" s="1" t="s">
        <v>28</v>
      </c>
      <c r="C5222" s="1" t="s">
        <v>151</v>
      </c>
      <c r="D5222" s="1">
        <v>1</v>
      </c>
      <c r="E5222" s="1" t="s">
        <v>4</v>
      </c>
      <c r="F5222" s="2">
        <v>20700</v>
      </c>
      <c r="G5222" s="2" t="s">
        <v>667</v>
      </c>
      <c r="H5222" s="1" t="str">
        <f t="shared" si="174"/>
        <v>平成22年2月26日</v>
      </c>
      <c r="I5222" s="22">
        <f t="shared" si="173"/>
        <v>40235</v>
      </c>
      <c r="J5222" s="1" t="str">
        <f>"00738961"</f>
        <v>00738961</v>
      </c>
      <c r="K5222" s="1" t="str">
        <f>"１９１３　　　　　　　　　　　　　　　　"</f>
        <v>１９１３　　　　　　　　　　　　　　　　</v>
      </c>
      <c r="L5222" s="1"/>
    </row>
    <row r="5223" spans="1:12" ht="18" customHeight="1" x14ac:dyDescent="0.15">
      <c r="A5223" s="1">
        <v>1288</v>
      </c>
      <c r="B5223" s="1" t="s">
        <v>28</v>
      </c>
      <c r="C5223" s="1" t="s">
        <v>151</v>
      </c>
      <c r="D5223" s="1">
        <v>1</v>
      </c>
      <c r="E5223" s="1" t="s">
        <v>4</v>
      </c>
      <c r="F5223" s="2">
        <v>20700</v>
      </c>
      <c r="G5223" s="2" t="s">
        <v>667</v>
      </c>
      <c r="H5223" s="1" t="str">
        <f t="shared" si="174"/>
        <v>平成22年2月26日</v>
      </c>
      <c r="I5223" s="22">
        <f t="shared" si="173"/>
        <v>40235</v>
      </c>
      <c r="J5223" s="1" t="str">
        <f>"00738963"</f>
        <v>00738963</v>
      </c>
      <c r="K5223" s="1" t="str">
        <f>"１９１４　　　　　　　　　　　　　　　　"</f>
        <v>１９１４　　　　　　　　　　　　　　　　</v>
      </c>
      <c r="L5223" s="1"/>
    </row>
    <row r="5224" spans="1:12" ht="18" customHeight="1" x14ac:dyDescent="0.15">
      <c r="A5224" s="1">
        <v>1289</v>
      </c>
      <c r="B5224" s="1" t="s">
        <v>28</v>
      </c>
      <c r="C5224" s="1" t="s">
        <v>151</v>
      </c>
      <c r="D5224" s="1">
        <v>1</v>
      </c>
      <c r="E5224" s="1" t="s">
        <v>4</v>
      </c>
      <c r="F5224" s="2">
        <v>20700</v>
      </c>
      <c r="G5224" s="2" t="s">
        <v>667</v>
      </c>
      <c r="H5224" s="1" t="str">
        <f t="shared" si="174"/>
        <v>平成22年2月26日</v>
      </c>
      <c r="I5224" s="22">
        <f t="shared" si="173"/>
        <v>40235</v>
      </c>
      <c r="J5224" s="1" t="str">
        <f>"00738965"</f>
        <v>00738965</v>
      </c>
      <c r="K5224" s="1" t="str">
        <f>"１９１５　　　　　　　　　　　　　　　　"</f>
        <v>１９１５　　　　　　　　　　　　　　　　</v>
      </c>
      <c r="L5224" s="1"/>
    </row>
    <row r="5225" spans="1:12" ht="18" customHeight="1" x14ac:dyDescent="0.15">
      <c r="A5225" s="1">
        <v>1290</v>
      </c>
      <c r="B5225" s="1" t="s">
        <v>28</v>
      </c>
      <c r="C5225" s="1" t="s">
        <v>151</v>
      </c>
      <c r="D5225" s="1">
        <v>1</v>
      </c>
      <c r="E5225" s="1" t="s">
        <v>4</v>
      </c>
      <c r="F5225" s="2">
        <v>20700</v>
      </c>
      <c r="G5225" s="2" t="s">
        <v>667</v>
      </c>
      <c r="H5225" s="1" t="str">
        <f t="shared" si="174"/>
        <v>平成22年2月26日</v>
      </c>
      <c r="I5225" s="22">
        <f t="shared" si="173"/>
        <v>40235</v>
      </c>
      <c r="J5225" s="1" t="str">
        <f>"00738967"</f>
        <v>00738967</v>
      </c>
      <c r="K5225" s="1" t="str">
        <f>"１９１６　　　　　　　　　　　　　　　　"</f>
        <v>１９１６　　　　　　　　　　　　　　　　</v>
      </c>
      <c r="L5225" s="1"/>
    </row>
    <row r="5226" spans="1:12" ht="18" customHeight="1" x14ac:dyDescent="0.15">
      <c r="A5226" s="1">
        <v>1291</v>
      </c>
      <c r="B5226" s="1" t="s">
        <v>28</v>
      </c>
      <c r="C5226" s="1" t="s">
        <v>151</v>
      </c>
      <c r="D5226" s="1">
        <v>1</v>
      </c>
      <c r="E5226" s="1" t="s">
        <v>4</v>
      </c>
      <c r="F5226" s="2">
        <v>20700</v>
      </c>
      <c r="G5226" s="2" t="s">
        <v>667</v>
      </c>
      <c r="H5226" s="1" t="str">
        <f t="shared" si="174"/>
        <v>平成22年2月26日</v>
      </c>
      <c r="I5226" s="22">
        <f t="shared" si="173"/>
        <v>40235</v>
      </c>
      <c r="J5226" s="1" t="str">
        <f>"00738969"</f>
        <v>00738969</v>
      </c>
      <c r="K5226" s="1" t="str">
        <f>"１９１７　　　　　　　　　　　　　　　　"</f>
        <v>１９１７　　　　　　　　　　　　　　　　</v>
      </c>
      <c r="L5226" s="1"/>
    </row>
    <row r="5227" spans="1:12" ht="18" customHeight="1" x14ac:dyDescent="0.15">
      <c r="A5227" s="1">
        <v>1292</v>
      </c>
      <c r="B5227" s="1" t="s">
        <v>28</v>
      </c>
      <c r="C5227" s="1" t="s">
        <v>151</v>
      </c>
      <c r="D5227" s="1">
        <v>1</v>
      </c>
      <c r="E5227" s="1" t="s">
        <v>4</v>
      </c>
      <c r="F5227" s="2">
        <v>20700</v>
      </c>
      <c r="G5227" s="2" t="s">
        <v>667</v>
      </c>
      <c r="H5227" s="1" t="str">
        <f t="shared" si="174"/>
        <v>平成22年2月26日</v>
      </c>
      <c r="I5227" s="22">
        <f t="shared" si="173"/>
        <v>40235</v>
      </c>
      <c r="J5227" s="1" t="str">
        <f>"00738971"</f>
        <v>00738971</v>
      </c>
      <c r="K5227" s="1" t="str">
        <f>"１９１８　　　　　　　　　　　　　　　　"</f>
        <v>１９１８　　　　　　　　　　　　　　　　</v>
      </c>
      <c r="L5227" s="1"/>
    </row>
    <row r="5228" spans="1:12" ht="18" customHeight="1" x14ac:dyDescent="0.15">
      <c r="A5228" s="1">
        <v>1293</v>
      </c>
      <c r="B5228" s="1" t="s">
        <v>28</v>
      </c>
      <c r="C5228" s="1" t="s">
        <v>151</v>
      </c>
      <c r="D5228" s="1">
        <v>1</v>
      </c>
      <c r="E5228" s="1" t="s">
        <v>4</v>
      </c>
      <c r="F5228" s="2">
        <v>20700</v>
      </c>
      <c r="G5228" s="2" t="s">
        <v>667</v>
      </c>
      <c r="H5228" s="1" t="str">
        <f t="shared" si="174"/>
        <v>平成22年2月26日</v>
      </c>
      <c r="I5228" s="22">
        <f t="shared" si="173"/>
        <v>40235</v>
      </c>
      <c r="J5228" s="1" t="str">
        <f>"00738973"</f>
        <v>00738973</v>
      </c>
      <c r="K5228" s="1" t="str">
        <f>"１９１９　　　　　　　　　　　　　　　　"</f>
        <v>１９１９　　　　　　　　　　　　　　　　</v>
      </c>
      <c r="L5228" s="1"/>
    </row>
    <row r="5229" spans="1:12" ht="18" customHeight="1" x14ac:dyDescent="0.15">
      <c r="A5229" s="1">
        <v>1294</v>
      </c>
      <c r="B5229" s="1" t="s">
        <v>28</v>
      </c>
      <c r="C5229" s="1" t="s">
        <v>151</v>
      </c>
      <c r="D5229" s="1">
        <v>1</v>
      </c>
      <c r="E5229" s="1" t="s">
        <v>4</v>
      </c>
      <c r="F5229" s="2">
        <v>20700</v>
      </c>
      <c r="G5229" s="2" t="s">
        <v>667</v>
      </c>
      <c r="H5229" s="1" t="str">
        <f t="shared" si="174"/>
        <v>平成22年2月26日</v>
      </c>
      <c r="I5229" s="22">
        <f t="shared" si="173"/>
        <v>40235</v>
      </c>
      <c r="J5229" s="1" t="str">
        <f>"00738975"</f>
        <v>00738975</v>
      </c>
      <c r="K5229" s="1" t="str">
        <f>"１９２０　　　　　　　　　　　　　　　　"</f>
        <v>１９２０　　　　　　　　　　　　　　　　</v>
      </c>
      <c r="L5229" s="1"/>
    </row>
    <row r="5230" spans="1:12" ht="18" customHeight="1" x14ac:dyDescent="0.15">
      <c r="A5230" s="1">
        <v>1295</v>
      </c>
      <c r="B5230" s="1" t="s">
        <v>28</v>
      </c>
      <c r="C5230" s="1" t="s">
        <v>151</v>
      </c>
      <c r="D5230" s="1">
        <v>1</v>
      </c>
      <c r="E5230" s="1" t="s">
        <v>4</v>
      </c>
      <c r="F5230" s="2">
        <v>20700</v>
      </c>
      <c r="G5230" s="2" t="s">
        <v>667</v>
      </c>
      <c r="H5230" s="1" t="str">
        <f t="shared" si="174"/>
        <v>平成22年2月26日</v>
      </c>
      <c r="I5230" s="22">
        <f t="shared" si="173"/>
        <v>40235</v>
      </c>
      <c r="J5230" s="1" t="str">
        <f>"00738977"</f>
        <v>00738977</v>
      </c>
      <c r="K5230" s="1" t="str">
        <f>"１９２１　　　　　　　　　　　　　　　　"</f>
        <v>１９２１　　　　　　　　　　　　　　　　</v>
      </c>
      <c r="L5230" s="1"/>
    </row>
    <row r="5231" spans="1:12" ht="18" customHeight="1" x14ac:dyDescent="0.15">
      <c r="A5231" s="1">
        <v>1296</v>
      </c>
      <c r="B5231" s="1" t="s">
        <v>28</v>
      </c>
      <c r="C5231" s="1" t="s">
        <v>151</v>
      </c>
      <c r="D5231" s="1">
        <v>1</v>
      </c>
      <c r="E5231" s="1" t="s">
        <v>4</v>
      </c>
      <c r="F5231" s="2">
        <v>20700</v>
      </c>
      <c r="G5231" s="2" t="s">
        <v>667</v>
      </c>
      <c r="H5231" s="1" t="str">
        <f t="shared" si="174"/>
        <v>平成22年2月26日</v>
      </c>
      <c r="I5231" s="22">
        <f t="shared" si="173"/>
        <v>40235</v>
      </c>
      <c r="J5231" s="1" t="str">
        <f>"00738979"</f>
        <v>00738979</v>
      </c>
      <c r="K5231" s="1" t="str">
        <f>"１９２２　　　　　　　　　　　　　　　　"</f>
        <v>１９２２　　　　　　　　　　　　　　　　</v>
      </c>
      <c r="L5231" s="1"/>
    </row>
    <row r="5232" spans="1:12" ht="18" customHeight="1" x14ac:dyDescent="0.15">
      <c r="A5232" s="1">
        <v>1297</v>
      </c>
      <c r="B5232" s="1" t="s">
        <v>28</v>
      </c>
      <c r="C5232" s="1" t="s">
        <v>151</v>
      </c>
      <c r="D5232" s="1">
        <v>1</v>
      </c>
      <c r="E5232" s="1" t="s">
        <v>4</v>
      </c>
      <c r="F5232" s="2">
        <v>20700</v>
      </c>
      <c r="G5232" s="2" t="s">
        <v>667</v>
      </c>
      <c r="H5232" s="1" t="str">
        <f t="shared" si="174"/>
        <v>平成22年2月26日</v>
      </c>
      <c r="I5232" s="22">
        <f t="shared" si="173"/>
        <v>40235</v>
      </c>
      <c r="J5232" s="1" t="str">
        <f>"00738981"</f>
        <v>00738981</v>
      </c>
      <c r="K5232" s="1" t="str">
        <f>"１９２３　　　　　　　　　　　　　　　　"</f>
        <v>１９２３　　　　　　　　　　　　　　　　</v>
      </c>
      <c r="L5232" s="1"/>
    </row>
    <row r="5233" spans="1:12" ht="18" customHeight="1" x14ac:dyDescent="0.15">
      <c r="A5233" s="1">
        <v>1298</v>
      </c>
      <c r="B5233" s="1" t="s">
        <v>28</v>
      </c>
      <c r="C5233" s="1" t="s">
        <v>151</v>
      </c>
      <c r="D5233" s="1">
        <v>1</v>
      </c>
      <c r="E5233" s="1" t="s">
        <v>4</v>
      </c>
      <c r="F5233" s="2">
        <v>20700</v>
      </c>
      <c r="G5233" s="2" t="s">
        <v>667</v>
      </c>
      <c r="H5233" s="1" t="str">
        <f t="shared" si="174"/>
        <v>平成22年2月26日</v>
      </c>
      <c r="I5233" s="22">
        <f t="shared" si="173"/>
        <v>40235</v>
      </c>
      <c r="J5233" s="1" t="str">
        <f>"00738983"</f>
        <v>00738983</v>
      </c>
      <c r="K5233" s="1" t="str">
        <f>"１９２４　　　　　　　　　　　　　　　　"</f>
        <v>１９２４　　　　　　　　　　　　　　　　</v>
      </c>
      <c r="L5233" s="1"/>
    </row>
    <row r="5234" spans="1:12" ht="18" customHeight="1" x14ac:dyDescent="0.15">
      <c r="A5234" s="1">
        <v>1299</v>
      </c>
      <c r="B5234" s="1" t="s">
        <v>28</v>
      </c>
      <c r="C5234" s="1" t="s">
        <v>151</v>
      </c>
      <c r="D5234" s="1">
        <v>1</v>
      </c>
      <c r="E5234" s="1" t="s">
        <v>4</v>
      </c>
      <c r="F5234" s="2">
        <v>20700</v>
      </c>
      <c r="G5234" s="2" t="s">
        <v>667</v>
      </c>
      <c r="H5234" s="1" t="str">
        <f t="shared" si="174"/>
        <v>平成22年2月26日</v>
      </c>
      <c r="I5234" s="22">
        <f t="shared" si="173"/>
        <v>40235</v>
      </c>
      <c r="J5234" s="1" t="str">
        <f>"00738985"</f>
        <v>00738985</v>
      </c>
      <c r="K5234" s="1" t="str">
        <f>"１９２５　　　　　　　　　　　　　　　　"</f>
        <v>１９２５　　　　　　　　　　　　　　　　</v>
      </c>
      <c r="L5234" s="1"/>
    </row>
    <row r="5235" spans="1:12" ht="18" customHeight="1" x14ac:dyDescent="0.15">
      <c r="A5235" s="1">
        <v>1300</v>
      </c>
      <c r="B5235" s="1" t="s">
        <v>28</v>
      </c>
      <c r="C5235" s="1" t="s">
        <v>151</v>
      </c>
      <c r="D5235" s="1">
        <v>1</v>
      </c>
      <c r="E5235" s="1" t="s">
        <v>4</v>
      </c>
      <c r="F5235" s="2">
        <v>20700</v>
      </c>
      <c r="G5235" s="2" t="s">
        <v>667</v>
      </c>
      <c r="H5235" s="1" t="str">
        <f t="shared" si="174"/>
        <v>平成22年2月26日</v>
      </c>
      <c r="I5235" s="22">
        <f t="shared" si="173"/>
        <v>40235</v>
      </c>
      <c r="J5235" s="1" t="str">
        <f>"00738987"</f>
        <v>00738987</v>
      </c>
      <c r="K5235" s="1" t="str">
        <f>"１９２６　　　　　　　　　　　　　　　　"</f>
        <v>１９２６　　　　　　　　　　　　　　　　</v>
      </c>
      <c r="L5235" s="1"/>
    </row>
    <row r="5236" spans="1:12" ht="18" customHeight="1" x14ac:dyDescent="0.15">
      <c r="A5236" s="1">
        <v>1301</v>
      </c>
      <c r="B5236" s="1" t="s">
        <v>28</v>
      </c>
      <c r="C5236" s="1" t="s">
        <v>151</v>
      </c>
      <c r="D5236" s="1">
        <v>1</v>
      </c>
      <c r="E5236" s="1" t="s">
        <v>4</v>
      </c>
      <c r="F5236" s="2">
        <v>20700</v>
      </c>
      <c r="G5236" s="2" t="s">
        <v>667</v>
      </c>
      <c r="H5236" s="1" t="str">
        <f t="shared" si="174"/>
        <v>平成22年2月26日</v>
      </c>
      <c r="I5236" s="22">
        <f t="shared" si="173"/>
        <v>40235</v>
      </c>
      <c r="J5236" s="1" t="str">
        <f>"00738989"</f>
        <v>00738989</v>
      </c>
      <c r="K5236" s="1" t="str">
        <f>"１９２７　　　　　　　　　　　　　　　　"</f>
        <v>１９２７　　　　　　　　　　　　　　　　</v>
      </c>
      <c r="L5236" s="1"/>
    </row>
    <row r="5237" spans="1:12" ht="18" customHeight="1" x14ac:dyDescent="0.15">
      <c r="A5237" s="1">
        <v>1302</v>
      </c>
      <c r="B5237" s="1" t="s">
        <v>28</v>
      </c>
      <c r="C5237" s="1" t="s">
        <v>151</v>
      </c>
      <c r="D5237" s="1">
        <v>1</v>
      </c>
      <c r="E5237" s="1" t="s">
        <v>4</v>
      </c>
      <c r="F5237" s="2">
        <v>20700</v>
      </c>
      <c r="G5237" s="2" t="s">
        <v>667</v>
      </c>
      <c r="H5237" s="1" t="str">
        <f t="shared" si="174"/>
        <v>平成22年2月26日</v>
      </c>
      <c r="I5237" s="22">
        <f t="shared" si="173"/>
        <v>40235</v>
      </c>
      <c r="J5237" s="1" t="str">
        <f>"00738991"</f>
        <v>00738991</v>
      </c>
      <c r="K5237" s="1" t="str">
        <f>"１９２８　　　　　　　　　　　　　　　　"</f>
        <v>１９２８　　　　　　　　　　　　　　　　</v>
      </c>
      <c r="L5237" s="1"/>
    </row>
    <row r="5238" spans="1:12" ht="18" customHeight="1" x14ac:dyDescent="0.15">
      <c r="A5238" s="1">
        <v>1303</v>
      </c>
      <c r="B5238" s="1" t="s">
        <v>28</v>
      </c>
      <c r="C5238" s="1" t="s">
        <v>151</v>
      </c>
      <c r="D5238" s="1">
        <v>1</v>
      </c>
      <c r="E5238" s="1" t="s">
        <v>4</v>
      </c>
      <c r="F5238" s="2">
        <v>20700</v>
      </c>
      <c r="G5238" s="2" t="s">
        <v>667</v>
      </c>
      <c r="H5238" s="1" t="str">
        <f t="shared" si="174"/>
        <v>平成22年2月26日</v>
      </c>
      <c r="I5238" s="22">
        <f t="shared" si="173"/>
        <v>40235</v>
      </c>
      <c r="J5238" s="1" t="str">
        <f>"00738993"</f>
        <v>00738993</v>
      </c>
      <c r="K5238" s="1" t="str">
        <f>"１９２９　　　　　　　　　　　　　　　　"</f>
        <v>１９２９　　　　　　　　　　　　　　　　</v>
      </c>
      <c r="L5238" s="1"/>
    </row>
    <row r="5239" spans="1:12" ht="18" customHeight="1" x14ac:dyDescent="0.15">
      <c r="A5239" s="1">
        <v>1304</v>
      </c>
      <c r="B5239" s="1" t="s">
        <v>28</v>
      </c>
      <c r="C5239" s="1" t="s">
        <v>151</v>
      </c>
      <c r="D5239" s="1">
        <v>1</v>
      </c>
      <c r="E5239" s="1" t="s">
        <v>4</v>
      </c>
      <c r="F5239" s="2">
        <v>20700</v>
      </c>
      <c r="G5239" s="2" t="s">
        <v>667</v>
      </c>
      <c r="H5239" s="1" t="str">
        <f t="shared" si="174"/>
        <v>平成22年2月26日</v>
      </c>
      <c r="I5239" s="22">
        <f t="shared" si="173"/>
        <v>40235</v>
      </c>
      <c r="J5239" s="1" t="str">
        <f>"00738995"</f>
        <v>00738995</v>
      </c>
      <c r="K5239" s="1" t="str">
        <f>"１９３０　　　　　　　　　　　　　　　　"</f>
        <v>１９３０　　　　　　　　　　　　　　　　</v>
      </c>
      <c r="L5239" s="1"/>
    </row>
    <row r="5240" spans="1:12" ht="18" customHeight="1" x14ac:dyDescent="0.15">
      <c r="A5240" s="1">
        <v>1305</v>
      </c>
      <c r="B5240" s="1" t="s">
        <v>28</v>
      </c>
      <c r="C5240" s="1" t="s">
        <v>151</v>
      </c>
      <c r="D5240" s="1">
        <v>1</v>
      </c>
      <c r="E5240" s="1" t="s">
        <v>4</v>
      </c>
      <c r="F5240" s="2">
        <v>20700</v>
      </c>
      <c r="G5240" s="2" t="s">
        <v>667</v>
      </c>
      <c r="H5240" s="1" t="str">
        <f t="shared" si="174"/>
        <v>平成22年2月26日</v>
      </c>
      <c r="I5240" s="22">
        <f t="shared" si="173"/>
        <v>40235</v>
      </c>
      <c r="J5240" s="1" t="str">
        <f>"00738997"</f>
        <v>00738997</v>
      </c>
      <c r="K5240" s="1" t="str">
        <f>"１９３１　　　　　　　　　　　　　　　　"</f>
        <v>１９３１　　　　　　　　　　　　　　　　</v>
      </c>
      <c r="L5240" s="1"/>
    </row>
    <row r="5241" spans="1:12" ht="18" customHeight="1" x14ac:dyDescent="0.15">
      <c r="A5241" s="1">
        <v>1306</v>
      </c>
      <c r="B5241" s="1" t="s">
        <v>28</v>
      </c>
      <c r="C5241" s="1" t="s">
        <v>151</v>
      </c>
      <c r="D5241" s="1">
        <v>1</v>
      </c>
      <c r="E5241" s="1" t="s">
        <v>4</v>
      </c>
      <c r="F5241" s="2">
        <v>20700</v>
      </c>
      <c r="G5241" s="2" t="s">
        <v>667</v>
      </c>
      <c r="H5241" s="1" t="str">
        <f t="shared" si="174"/>
        <v>平成22年2月26日</v>
      </c>
      <c r="I5241" s="22">
        <f t="shared" si="173"/>
        <v>40235</v>
      </c>
      <c r="J5241" s="1" t="str">
        <f>"00738999"</f>
        <v>00738999</v>
      </c>
      <c r="K5241" s="1" t="str">
        <f>"１９３２　　　　　　　　　　　　　　　　"</f>
        <v>１９３２　　　　　　　　　　　　　　　　</v>
      </c>
      <c r="L5241" s="1"/>
    </row>
    <row r="5242" spans="1:12" ht="18" customHeight="1" x14ac:dyDescent="0.15">
      <c r="A5242" s="1">
        <v>1307</v>
      </c>
      <c r="B5242" s="1" t="s">
        <v>28</v>
      </c>
      <c r="C5242" s="1" t="s">
        <v>151</v>
      </c>
      <c r="D5242" s="1">
        <v>1</v>
      </c>
      <c r="E5242" s="1" t="s">
        <v>4</v>
      </c>
      <c r="F5242" s="2">
        <v>20700</v>
      </c>
      <c r="G5242" s="2" t="s">
        <v>667</v>
      </c>
      <c r="H5242" s="1" t="str">
        <f t="shared" si="174"/>
        <v>平成22年2月26日</v>
      </c>
      <c r="I5242" s="22">
        <f t="shared" si="173"/>
        <v>40235</v>
      </c>
      <c r="J5242" s="1" t="str">
        <f>"00739001"</f>
        <v>00739001</v>
      </c>
      <c r="K5242" s="1" t="str">
        <f>"１９３３　　　　　　　　　　　　　　　　"</f>
        <v>１９３３　　　　　　　　　　　　　　　　</v>
      </c>
      <c r="L5242" s="1"/>
    </row>
    <row r="5243" spans="1:12" ht="18" customHeight="1" x14ac:dyDescent="0.15">
      <c r="A5243" s="1">
        <v>1308</v>
      </c>
      <c r="B5243" s="1" t="s">
        <v>28</v>
      </c>
      <c r="C5243" s="1" t="s">
        <v>151</v>
      </c>
      <c r="D5243" s="1">
        <v>1</v>
      </c>
      <c r="E5243" s="1" t="s">
        <v>4</v>
      </c>
      <c r="F5243" s="2">
        <v>20700</v>
      </c>
      <c r="G5243" s="2" t="s">
        <v>667</v>
      </c>
      <c r="H5243" s="1" t="str">
        <f t="shared" si="174"/>
        <v>平成22年2月26日</v>
      </c>
      <c r="I5243" s="22">
        <f t="shared" si="173"/>
        <v>40235</v>
      </c>
      <c r="J5243" s="1" t="str">
        <f>"00739003"</f>
        <v>00739003</v>
      </c>
      <c r="K5243" s="1" t="str">
        <f>"１９３４　　　　　　　　　　　　　　　　"</f>
        <v>１９３４　　　　　　　　　　　　　　　　</v>
      </c>
      <c r="L5243" s="1"/>
    </row>
    <row r="5244" spans="1:12" ht="18" customHeight="1" x14ac:dyDescent="0.15">
      <c r="A5244" s="1">
        <v>1309</v>
      </c>
      <c r="B5244" s="1" t="s">
        <v>28</v>
      </c>
      <c r="C5244" s="1" t="s">
        <v>151</v>
      </c>
      <c r="D5244" s="1">
        <v>1</v>
      </c>
      <c r="E5244" s="1" t="s">
        <v>4</v>
      </c>
      <c r="F5244" s="2">
        <v>20700</v>
      </c>
      <c r="G5244" s="2" t="s">
        <v>667</v>
      </c>
      <c r="H5244" s="1" t="str">
        <f t="shared" si="174"/>
        <v>平成22年2月26日</v>
      </c>
      <c r="I5244" s="22">
        <f t="shared" si="173"/>
        <v>40235</v>
      </c>
      <c r="J5244" s="1" t="str">
        <f>"00739005"</f>
        <v>00739005</v>
      </c>
      <c r="K5244" s="1" t="str">
        <f>"１９３５　　　　　　　　　　　　　　　　"</f>
        <v>１９３５　　　　　　　　　　　　　　　　</v>
      </c>
      <c r="L5244" s="1"/>
    </row>
    <row r="5245" spans="1:12" ht="18" customHeight="1" x14ac:dyDescent="0.15">
      <c r="A5245" s="1">
        <v>1310</v>
      </c>
      <c r="B5245" s="1" t="s">
        <v>28</v>
      </c>
      <c r="C5245" s="1" t="s">
        <v>151</v>
      </c>
      <c r="D5245" s="1">
        <v>1</v>
      </c>
      <c r="E5245" s="1" t="s">
        <v>4</v>
      </c>
      <c r="F5245" s="2">
        <v>20700</v>
      </c>
      <c r="G5245" s="2" t="s">
        <v>667</v>
      </c>
      <c r="H5245" s="1" t="str">
        <f t="shared" si="174"/>
        <v>平成22年2月26日</v>
      </c>
      <c r="I5245" s="22">
        <f t="shared" si="173"/>
        <v>40235</v>
      </c>
      <c r="J5245" s="1" t="str">
        <f>"00739007"</f>
        <v>00739007</v>
      </c>
      <c r="K5245" s="1" t="str">
        <f>"１９３６　　　　　　　　　　　　　　　　"</f>
        <v>１９３６　　　　　　　　　　　　　　　　</v>
      </c>
      <c r="L5245" s="1"/>
    </row>
    <row r="5246" spans="1:12" ht="18" customHeight="1" x14ac:dyDescent="0.15">
      <c r="A5246" s="1">
        <v>1311</v>
      </c>
      <c r="B5246" s="1" t="s">
        <v>28</v>
      </c>
      <c r="C5246" s="1" t="s">
        <v>151</v>
      </c>
      <c r="D5246" s="1">
        <v>1</v>
      </c>
      <c r="E5246" s="1" t="s">
        <v>4</v>
      </c>
      <c r="F5246" s="2">
        <v>20700</v>
      </c>
      <c r="G5246" s="2" t="s">
        <v>667</v>
      </c>
      <c r="H5246" s="1" t="str">
        <f t="shared" si="174"/>
        <v>平成22年2月26日</v>
      </c>
      <c r="I5246" s="22">
        <f t="shared" si="173"/>
        <v>40235</v>
      </c>
      <c r="J5246" s="1" t="str">
        <f>"00739009"</f>
        <v>00739009</v>
      </c>
      <c r="K5246" s="1" t="str">
        <f>"１９３７　　　　　　　　　　　　　　　　"</f>
        <v>１９３７　　　　　　　　　　　　　　　　</v>
      </c>
      <c r="L5246" s="1"/>
    </row>
    <row r="5247" spans="1:12" ht="18" customHeight="1" x14ac:dyDescent="0.15">
      <c r="A5247" s="1">
        <v>1312</v>
      </c>
      <c r="B5247" s="1" t="s">
        <v>28</v>
      </c>
      <c r="C5247" s="1" t="s">
        <v>151</v>
      </c>
      <c r="D5247" s="1">
        <v>1</v>
      </c>
      <c r="E5247" s="1" t="s">
        <v>4</v>
      </c>
      <c r="F5247" s="2">
        <v>20700</v>
      </c>
      <c r="G5247" s="2" t="s">
        <v>667</v>
      </c>
      <c r="H5247" s="1" t="str">
        <f t="shared" si="174"/>
        <v>平成22年2月26日</v>
      </c>
      <c r="I5247" s="22">
        <f t="shared" si="173"/>
        <v>40235</v>
      </c>
      <c r="J5247" s="1" t="str">
        <f>"00739011"</f>
        <v>00739011</v>
      </c>
      <c r="K5247" s="1" t="str">
        <f>"１９３８　　　　　　　　　　　　　　　　"</f>
        <v>１９３８　　　　　　　　　　　　　　　　</v>
      </c>
      <c r="L5247" s="1"/>
    </row>
    <row r="5248" spans="1:12" ht="18" customHeight="1" x14ac:dyDescent="0.15">
      <c r="A5248" s="1">
        <v>1313</v>
      </c>
      <c r="B5248" s="1" t="s">
        <v>28</v>
      </c>
      <c r="C5248" s="1" t="s">
        <v>151</v>
      </c>
      <c r="D5248" s="1">
        <v>1</v>
      </c>
      <c r="E5248" s="1" t="s">
        <v>4</v>
      </c>
      <c r="F5248" s="2">
        <v>20700</v>
      </c>
      <c r="G5248" s="2" t="s">
        <v>667</v>
      </c>
      <c r="H5248" s="1" t="str">
        <f t="shared" si="174"/>
        <v>平成22年2月26日</v>
      </c>
      <c r="I5248" s="22">
        <f t="shared" si="173"/>
        <v>40235</v>
      </c>
      <c r="J5248" s="1" t="str">
        <f>"00739013"</f>
        <v>00739013</v>
      </c>
      <c r="K5248" s="1" t="str">
        <f>"１９３９　　　　　　　　　　　　　　　　"</f>
        <v>１９３９　　　　　　　　　　　　　　　　</v>
      </c>
      <c r="L5248" s="1"/>
    </row>
    <row r="5249" spans="1:12" ht="18" customHeight="1" x14ac:dyDescent="0.15">
      <c r="A5249" s="1">
        <v>1314</v>
      </c>
      <c r="B5249" s="1" t="s">
        <v>28</v>
      </c>
      <c r="C5249" s="1" t="s">
        <v>151</v>
      </c>
      <c r="D5249" s="1">
        <v>1</v>
      </c>
      <c r="E5249" s="1" t="s">
        <v>4</v>
      </c>
      <c r="F5249" s="2">
        <v>20700</v>
      </c>
      <c r="G5249" s="2" t="s">
        <v>667</v>
      </c>
      <c r="H5249" s="1" t="str">
        <f t="shared" si="174"/>
        <v>平成22年2月26日</v>
      </c>
      <c r="I5249" s="22">
        <f t="shared" si="173"/>
        <v>40235</v>
      </c>
      <c r="J5249" s="1" t="str">
        <f>"00739015"</f>
        <v>00739015</v>
      </c>
      <c r="K5249" s="1" t="str">
        <f>"１９４０　　　　　　　　　　　　　　　　"</f>
        <v>１９４０　　　　　　　　　　　　　　　　</v>
      </c>
      <c r="L5249" s="1"/>
    </row>
    <row r="5250" spans="1:12" ht="18" customHeight="1" x14ac:dyDescent="0.15">
      <c r="A5250" s="1">
        <v>1315</v>
      </c>
      <c r="B5250" s="1" t="s">
        <v>28</v>
      </c>
      <c r="C5250" s="1" t="s">
        <v>151</v>
      </c>
      <c r="D5250" s="1">
        <v>1</v>
      </c>
      <c r="E5250" s="1" t="s">
        <v>4</v>
      </c>
      <c r="F5250" s="2">
        <v>20700</v>
      </c>
      <c r="G5250" s="2" t="s">
        <v>667</v>
      </c>
      <c r="H5250" s="1" t="str">
        <f t="shared" si="174"/>
        <v>平成22年2月26日</v>
      </c>
      <c r="I5250" s="22">
        <f t="shared" si="173"/>
        <v>40235</v>
      </c>
      <c r="J5250" s="1" t="str">
        <f>"00739016"</f>
        <v>00739016</v>
      </c>
      <c r="K5250" s="1" t="str">
        <f>"１９４１　　　　　　　　　　　　　　　　"</f>
        <v>１９４１　　　　　　　　　　　　　　　　</v>
      </c>
      <c r="L5250" s="1"/>
    </row>
    <row r="5251" spans="1:12" ht="18" customHeight="1" x14ac:dyDescent="0.15">
      <c r="A5251" s="1">
        <v>1316</v>
      </c>
      <c r="B5251" s="1" t="s">
        <v>28</v>
      </c>
      <c r="C5251" s="1" t="s">
        <v>151</v>
      </c>
      <c r="D5251" s="1">
        <v>1</v>
      </c>
      <c r="E5251" s="1" t="s">
        <v>4</v>
      </c>
      <c r="F5251" s="2">
        <v>20700</v>
      </c>
      <c r="G5251" s="2" t="s">
        <v>667</v>
      </c>
      <c r="H5251" s="1" t="str">
        <f t="shared" si="174"/>
        <v>平成22年2月26日</v>
      </c>
      <c r="I5251" s="22">
        <f t="shared" si="173"/>
        <v>40235</v>
      </c>
      <c r="J5251" s="1" t="str">
        <f>"00739018"</f>
        <v>00739018</v>
      </c>
      <c r="K5251" s="1" t="str">
        <f>"１９４２　　　　　　　　　　　　　　　　"</f>
        <v>１９４２　　　　　　　　　　　　　　　　</v>
      </c>
      <c r="L5251" s="1"/>
    </row>
    <row r="5252" spans="1:12" ht="18" customHeight="1" x14ac:dyDescent="0.15">
      <c r="A5252" s="1">
        <v>1317</v>
      </c>
      <c r="B5252" s="1" t="s">
        <v>28</v>
      </c>
      <c r="C5252" s="1" t="s">
        <v>151</v>
      </c>
      <c r="D5252" s="1">
        <v>1</v>
      </c>
      <c r="E5252" s="1" t="s">
        <v>4</v>
      </c>
      <c r="F5252" s="2">
        <v>20700</v>
      </c>
      <c r="G5252" s="2" t="s">
        <v>667</v>
      </c>
      <c r="H5252" s="1" t="str">
        <f t="shared" si="174"/>
        <v>平成22年2月26日</v>
      </c>
      <c r="I5252" s="22">
        <f t="shared" si="173"/>
        <v>40235</v>
      </c>
      <c r="J5252" s="1" t="str">
        <f>"00739020"</f>
        <v>00739020</v>
      </c>
      <c r="K5252" s="1" t="str">
        <f>"１９４３　　　　　　　　　　　　　　　　"</f>
        <v>１９４３　　　　　　　　　　　　　　　　</v>
      </c>
      <c r="L5252" s="1"/>
    </row>
    <row r="5253" spans="1:12" ht="18" customHeight="1" x14ac:dyDescent="0.15">
      <c r="A5253" s="1">
        <v>1318</v>
      </c>
      <c r="B5253" s="1" t="s">
        <v>28</v>
      </c>
      <c r="C5253" s="1" t="s">
        <v>151</v>
      </c>
      <c r="D5253" s="1">
        <v>1</v>
      </c>
      <c r="E5253" s="1" t="s">
        <v>4</v>
      </c>
      <c r="F5253" s="2">
        <v>20700</v>
      </c>
      <c r="G5253" s="2" t="s">
        <v>667</v>
      </c>
      <c r="H5253" s="1" t="str">
        <f t="shared" si="174"/>
        <v>平成22年2月26日</v>
      </c>
      <c r="I5253" s="22">
        <f t="shared" si="173"/>
        <v>40235</v>
      </c>
      <c r="J5253" s="1" t="str">
        <f>"00739023"</f>
        <v>00739023</v>
      </c>
      <c r="K5253" s="1" t="str">
        <f>"１９４４　　　　　　　　　　　　　　　　"</f>
        <v>１９４４　　　　　　　　　　　　　　　　</v>
      </c>
      <c r="L5253" s="1"/>
    </row>
    <row r="5254" spans="1:12" ht="18" customHeight="1" x14ac:dyDescent="0.15">
      <c r="A5254" s="1">
        <v>1319</v>
      </c>
      <c r="B5254" s="1" t="s">
        <v>28</v>
      </c>
      <c r="C5254" s="1" t="s">
        <v>151</v>
      </c>
      <c r="D5254" s="1">
        <v>1</v>
      </c>
      <c r="E5254" s="1" t="s">
        <v>4</v>
      </c>
      <c r="F5254" s="2">
        <v>20700</v>
      </c>
      <c r="G5254" s="2" t="s">
        <v>667</v>
      </c>
      <c r="H5254" s="1" t="str">
        <f t="shared" si="174"/>
        <v>平成22年2月26日</v>
      </c>
      <c r="I5254" s="22">
        <f t="shared" si="173"/>
        <v>40235</v>
      </c>
      <c r="J5254" s="1" t="str">
        <f>"00739025"</f>
        <v>00739025</v>
      </c>
      <c r="K5254" s="1" t="str">
        <f>"１９４５　　　　　　　　　　　　　　　　"</f>
        <v>１９４５　　　　　　　　　　　　　　　　</v>
      </c>
      <c r="L5254" s="1"/>
    </row>
    <row r="5255" spans="1:12" ht="18" customHeight="1" x14ac:dyDescent="0.15">
      <c r="A5255" s="1">
        <v>1320</v>
      </c>
      <c r="B5255" s="1" t="s">
        <v>28</v>
      </c>
      <c r="C5255" s="1" t="s">
        <v>151</v>
      </c>
      <c r="D5255" s="1">
        <v>1</v>
      </c>
      <c r="E5255" s="1" t="s">
        <v>4</v>
      </c>
      <c r="F5255" s="2">
        <v>20700</v>
      </c>
      <c r="G5255" s="2" t="s">
        <v>667</v>
      </c>
      <c r="H5255" s="1" t="str">
        <f t="shared" si="174"/>
        <v>平成22年2月26日</v>
      </c>
      <c r="I5255" s="22">
        <f t="shared" si="173"/>
        <v>40235</v>
      </c>
      <c r="J5255" s="1" t="str">
        <f>"00739027"</f>
        <v>00739027</v>
      </c>
      <c r="K5255" s="1" t="str">
        <f>"１９４６　　　　　　　　　　　　　　　　"</f>
        <v>１９４６　　　　　　　　　　　　　　　　</v>
      </c>
      <c r="L5255" s="1"/>
    </row>
    <row r="5256" spans="1:12" ht="18" customHeight="1" x14ac:dyDescent="0.15">
      <c r="A5256" s="1">
        <v>1321</v>
      </c>
      <c r="B5256" s="1" t="s">
        <v>28</v>
      </c>
      <c r="C5256" s="1" t="s">
        <v>151</v>
      </c>
      <c r="D5256" s="1">
        <v>1</v>
      </c>
      <c r="E5256" s="1" t="s">
        <v>4</v>
      </c>
      <c r="F5256" s="2">
        <v>20700</v>
      </c>
      <c r="G5256" s="2" t="s">
        <v>667</v>
      </c>
      <c r="H5256" s="1" t="str">
        <f t="shared" si="174"/>
        <v>平成22年2月26日</v>
      </c>
      <c r="I5256" s="22">
        <f t="shared" si="173"/>
        <v>40235</v>
      </c>
      <c r="J5256" s="1" t="str">
        <f>"00739029"</f>
        <v>00739029</v>
      </c>
      <c r="K5256" s="1" t="str">
        <f>"１９４７　　　　　　　　　　　　　　　　"</f>
        <v>１９４７　　　　　　　　　　　　　　　　</v>
      </c>
      <c r="L5256" s="1"/>
    </row>
    <row r="5257" spans="1:12" ht="18" customHeight="1" x14ac:dyDescent="0.15">
      <c r="A5257" s="1">
        <v>1322</v>
      </c>
      <c r="B5257" s="1" t="s">
        <v>28</v>
      </c>
      <c r="C5257" s="1" t="s">
        <v>151</v>
      </c>
      <c r="D5257" s="1">
        <v>1</v>
      </c>
      <c r="E5257" s="1" t="s">
        <v>4</v>
      </c>
      <c r="F5257" s="2">
        <v>20700</v>
      </c>
      <c r="G5257" s="2" t="s">
        <v>667</v>
      </c>
      <c r="H5257" s="1" t="str">
        <f t="shared" si="174"/>
        <v>平成22年2月26日</v>
      </c>
      <c r="I5257" s="22">
        <f t="shared" si="173"/>
        <v>40235</v>
      </c>
      <c r="J5257" s="1" t="str">
        <f>"00739031"</f>
        <v>00739031</v>
      </c>
      <c r="K5257" s="1" t="str">
        <f>"１９４８　　　　　　　　　　　　　　　　"</f>
        <v>１９４８　　　　　　　　　　　　　　　　</v>
      </c>
      <c r="L5257" s="1"/>
    </row>
    <row r="5258" spans="1:12" ht="18" customHeight="1" x14ac:dyDescent="0.15">
      <c r="A5258" s="1">
        <v>1323</v>
      </c>
      <c r="B5258" s="1" t="s">
        <v>28</v>
      </c>
      <c r="C5258" s="1" t="s">
        <v>151</v>
      </c>
      <c r="D5258" s="1">
        <v>1</v>
      </c>
      <c r="E5258" s="1" t="s">
        <v>4</v>
      </c>
      <c r="F5258" s="2">
        <v>20700</v>
      </c>
      <c r="G5258" s="2" t="s">
        <v>667</v>
      </c>
      <c r="H5258" s="1" t="str">
        <f t="shared" si="174"/>
        <v>平成22年2月26日</v>
      </c>
      <c r="I5258" s="22">
        <f t="shared" si="173"/>
        <v>40235</v>
      </c>
      <c r="J5258" s="1" t="str">
        <f>"00739032"</f>
        <v>00739032</v>
      </c>
      <c r="K5258" s="1" t="str">
        <f>"１９４９　　　　　　　　　　　　　　　　"</f>
        <v>１９４９　　　　　　　　　　　　　　　　</v>
      </c>
      <c r="L5258" s="1"/>
    </row>
    <row r="5259" spans="1:12" ht="18" customHeight="1" x14ac:dyDescent="0.15">
      <c r="A5259" s="1">
        <v>1324</v>
      </c>
      <c r="B5259" s="1" t="s">
        <v>28</v>
      </c>
      <c r="C5259" s="1" t="s">
        <v>151</v>
      </c>
      <c r="D5259" s="1">
        <v>1</v>
      </c>
      <c r="E5259" s="1" t="s">
        <v>4</v>
      </c>
      <c r="F5259" s="2">
        <v>20700</v>
      </c>
      <c r="G5259" s="2" t="s">
        <v>667</v>
      </c>
      <c r="H5259" s="1" t="str">
        <f t="shared" si="174"/>
        <v>平成22年2月26日</v>
      </c>
      <c r="I5259" s="22">
        <f t="shared" si="173"/>
        <v>40235</v>
      </c>
      <c r="J5259" s="1" t="str">
        <f>"00739034"</f>
        <v>00739034</v>
      </c>
      <c r="K5259" s="1" t="str">
        <f>"１９５０　　　　　　　　　　　　　　　　"</f>
        <v>１９５０　　　　　　　　　　　　　　　　</v>
      </c>
      <c r="L5259" s="1"/>
    </row>
    <row r="5260" spans="1:12" ht="18" customHeight="1" x14ac:dyDescent="0.15">
      <c r="A5260" s="1">
        <v>1325</v>
      </c>
      <c r="B5260" s="1" t="s">
        <v>28</v>
      </c>
      <c r="C5260" s="1" t="s">
        <v>151</v>
      </c>
      <c r="D5260" s="1">
        <v>1</v>
      </c>
      <c r="E5260" s="1" t="s">
        <v>4</v>
      </c>
      <c r="F5260" s="2">
        <v>20700</v>
      </c>
      <c r="G5260" s="2" t="s">
        <v>667</v>
      </c>
      <c r="H5260" s="1" t="str">
        <f t="shared" si="174"/>
        <v>平成22年2月26日</v>
      </c>
      <c r="I5260" s="22">
        <f t="shared" si="173"/>
        <v>40235</v>
      </c>
      <c r="J5260" s="1" t="str">
        <f>"00739036"</f>
        <v>00739036</v>
      </c>
      <c r="K5260" s="1" t="str">
        <f>"１９５１　　　　　　　　　　　　　　　　"</f>
        <v>１９５１　　　　　　　　　　　　　　　　</v>
      </c>
      <c r="L5260" s="1"/>
    </row>
    <row r="5261" spans="1:12" ht="18" customHeight="1" x14ac:dyDescent="0.15">
      <c r="A5261" s="1">
        <v>1326</v>
      </c>
      <c r="B5261" s="1" t="s">
        <v>28</v>
      </c>
      <c r="C5261" s="1" t="s">
        <v>151</v>
      </c>
      <c r="D5261" s="1">
        <v>1</v>
      </c>
      <c r="E5261" s="1" t="s">
        <v>4</v>
      </c>
      <c r="F5261" s="2">
        <v>20700</v>
      </c>
      <c r="G5261" s="2" t="s">
        <v>667</v>
      </c>
      <c r="H5261" s="1" t="str">
        <f t="shared" si="174"/>
        <v>平成22年2月26日</v>
      </c>
      <c r="I5261" s="22">
        <f t="shared" si="173"/>
        <v>40235</v>
      </c>
      <c r="J5261" s="1" t="str">
        <f>"00739038"</f>
        <v>00739038</v>
      </c>
      <c r="K5261" s="1" t="str">
        <f>"１９５２　　　　　　　　　　　　　　　　"</f>
        <v>１９５２　　　　　　　　　　　　　　　　</v>
      </c>
      <c r="L5261" s="1"/>
    </row>
    <row r="5262" spans="1:12" ht="18" customHeight="1" x14ac:dyDescent="0.15">
      <c r="A5262" s="1">
        <v>1327</v>
      </c>
      <c r="B5262" s="1" t="s">
        <v>28</v>
      </c>
      <c r="C5262" s="1" t="s">
        <v>151</v>
      </c>
      <c r="D5262" s="1">
        <v>1</v>
      </c>
      <c r="E5262" s="1" t="s">
        <v>4</v>
      </c>
      <c r="F5262" s="2">
        <v>20700</v>
      </c>
      <c r="G5262" s="2" t="s">
        <v>667</v>
      </c>
      <c r="H5262" s="1" t="str">
        <f t="shared" si="174"/>
        <v>平成22年2月26日</v>
      </c>
      <c r="I5262" s="22">
        <f t="shared" si="173"/>
        <v>40235</v>
      </c>
      <c r="J5262" s="1" t="str">
        <f>"00739040"</f>
        <v>00739040</v>
      </c>
      <c r="K5262" s="1" t="str">
        <f>"１９５３　　　　　　　　　　　　　　　　"</f>
        <v>１９５３　　　　　　　　　　　　　　　　</v>
      </c>
      <c r="L5262" s="1"/>
    </row>
    <row r="5263" spans="1:12" ht="18" customHeight="1" x14ac:dyDescent="0.15">
      <c r="A5263" s="1">
        <v>1328</v>
      </c>
      <c r="B5263" s="1" t="s">
        <v>28</v>
      </c>
      <c r="C5263" s="1" t="s">
        <v>151</v>
      </c>
      <c r="D5263" s="1">
        <v>1</v>
      </c>
      <c r="E5263" s="1" t="s">
        <v>4</v>
      </c>
      <c r="F5263" s="2">
        <v>20700</v>
      </c>
      <c r="G5263" s="2" t="s">
        <v>667</v>
      </c>
      <c r="H5263" s="1" t="str">
        <f t="shared" si="174"/>
        <v>平成22年2月26日</v>
      </c>
      <c r="I5263" s="22">
        <f t="shared" si="173"/>
        <v>40235</v>
      </c>
      <c r="J5263" s="1" t="str">
        <f>"00739043"</f>
        <v>00739043</v>
      </c>
      <c r="K5263" s="1" t="str">
        <f>"１９５４　　　　　　　　　　　　　　　　"</f>
        <v>１９５４　　　　　　　　　　　　　　　　</v>
      </c>
      <c r="L5263" s="1"/>
    </row>
    <row r="5264" spans="1:12" ht="18" customHeight="1" x14ac:dyDescent="0.15">
      <c r="A5264" s="1">
        <v>1329</v>
      </c>
      <c r="B5264" s="1" t="s">
        <v>28</v>
      </c>
      <c r="C5264" s="1" t="s">
        <v>151</v>
      </c>
      <c r="D5264" s="1">
        <v>1</v>
      </c>
      <c r="E5264" s="1" t="s">
        <v>4</v>
      </c>
      <c r="F5264" s="2">
        <v>20700</v>
      </c>
      <c r="G5264" s="2" t="s">
        <v>667</v>
      </c>
      <c r="H5264" s="1" t="str">
        <f t="shared" si="174"/>
        <v>平成22年2月26日</v>
      </c>
      <c r="I5264" s="22">
        <f t="shared" si="173"/>
        <v>40235</v>
      </c>
      <c r="J5264" s="1" t="str">
        <f>"00739045"</f>
        <v>00739045</v>
      </c>
      <c r="K5264" s="1" t="str">
        <f>"１９５５　　　　　　　　　　　　　　　　"</f>
        <v>１９５５　　　　　　　　　　　　　　　　</v>
      </c>
      <c r="L5264" s="1"/>
    </row>
    <row r="5265" spans="1:12" ht="18" customHeight="1" x14ac:dyDescent="0.15">
      <c r="A5265" s="1">
        <v>1330</v>
      </c>
      <c r="B5265" s="1" t="s">
        <v>28</v>
      </c>
      <c r="C5265" s="1" t="s">
        <v>151</v>
      </c>
      <c r="D5265" s="1">
        <v>1</v>
      </c>
      <c r="E5265" s="1" t="s">
        <v>4</v>
      </c>
      <c r="F5265" s="2">
        <v>20700</v>
      </c>
      <c r="G5265" s="2" t="s">
        <v>667</v>
      </c>
      <c r="H5265" s="1" t="str">
        <f t="shared" si="174"/>
        <v>平成22年2月26日</v>
      </c>
      <c r="I5265" s="22">
        <f t="shared" si="173"/>
        <v>40235</v>
      </c>
      <c r="J5265" s="1" t="str">
        <f>"00739047"</f>
        <v>00739047</v>
      </c>
      <c r="K5265" s="1" t="str">
        <f>"１９５６　　　　　　　　　　　　　　　　"</f>
        <v>１９５６　　　　　　　　　　　　　　　　</v>
      </c>
      <c r="L5265" s="1"/>
    </row>
    <row r="5266" spans="1:12" ht="18" customHeight="1" x14ac:dyDescent="0.15">
      <c r="A5266" s="1">
        <v>1331</v>
      </c>
      <c r="B5266" s="1" t="s">
        <v>28</v>
      </c>
      <c r="C5266" s="1" t="s">
        <v>151</v>
      </c>
      <c r="D5266" s="1">
        <v>1</v>
      </c>
      <c r="E5266" s="1" t="s">
        <v>4</v>
      </c>
      <c r="F5266" s="2">
        <v>20700</v>
      </c>
      <c r="G5266" s="2" t="s">
        <v>667</v>
      </c>
      <c r="H5266" s="1" t="str">
        <f t="shared" si="174"/>
        <v>平成22年2月26日</v>
      </c>
      <c r="I5266" s="22">
        <f t="shared" si="173"/>
        <v>40235</v>
      </c>
      <c r="J5266" s="1" t="str">
        <f>"00739048"</f>
        <v>00739048</v>
      </c>
      <c r="K5266" s="1" t="str">
        <f>"１９５７　　　　　　　　　　　　　　　　"</f>
        <v>１９５７　　　　　　　　　　　　　　　　</v>
      </c>
      <c r="L5266" s="1"/>
    </row>
    <row r="5267" spans="1:12" ht="18" customHeight="1" x14ac:dyDescent="0.15">
      <c r="A5267" s="1">
        <v>1332</v>
      </c>
      <c r="B5267" s="1" t="s">
        <v>28</v>
      </c>
      <c r="C5267" s="1" t="s">
        <v>151</v>
      </c>
      <c r="D5267" s="1">
        <v>1</v>
      </c>
      <c r="E5267" s="1" t="s">
        <v>4</v>
      </c>
      <c r="F5267" s="2">
        <v>20700</v>
      </c>
      <c r="G5267" s="2" t="s">
        <v>667</v>
      </c>
      <c r="H5267" s="1" t="str">
        <f t="shared" si="174"/>
        <v>平成22年2月26日</v>
      </c>
      <c r="I5267" s="22">
        <f t="shared" si="173"/>
        <v>40235</v>
      </c>
      <c r="J5267" s="1" t="str">
        <f>"00739051"</f>
        <v>00739051</v>
      </c>
      <c r="K5267" s="1" t="str">
        <f>"１９５８　　　　　　　　　　　　　　　　"</f>
        <v>１９５８　　　　　　　　　　　　　　　　</v>
      </c>
      <c r="L5267" s="1"/>
    </row>
    <row r="5268" spans="1:12" ht="18" customHeight="1" x14ac:dyDescent="0.15">
      <c r="A5268" s="1">
        <v>1333</v>
      </c>
      <c r="B5268" s="1" t="s">
        <v>28</v>
      </c>
      <c r="C5268" s="1" t="s">
        <v>151</v>
      </c>
      <c r="D5268" s="1">
        <v>1</v>
      </c>
      <c r="E5268" s="1" t="s">
        <v>4</v>
      </c>
      <c r="F5268" s="2">
        <v>20700</v>
      </c>
      <c r="G5268" s="2" t="s">
        <v>667</v>
      </c>
      <c r="H5268" s="1" t="str">
        <f t="shared" si="174"/>
        <v>平成22年2月26日</v>
      </c>
      <c r="I5268" s="22">
        <f t="shared" si="173"/>
        <v>40235</v>
      </c>
      <c r="J5268" s="1" t="str">
        <f>"00739053"</f>
        <v>00739053</v>
      </c>
      <c r="K5268" s="1" t="str">
        <f>"１９５９　　　　　　　　　　　　　　　　"</f>
        <v>１９５９　　　　　　　　　　　　　　　　</v>
      </c>
      <c r="L5268" s="1"/>
    </row>
    <row r="5269" spans="1:12" ht="18" customHeight="1" x14ac:dyDescent="0.15">
      <c r="A5269" s="1">
        <v>1334</v>
      </c>
      <c r="B5269" s="1" t="s">
        <v>28</v>
      </c>
      <c r="C5269" s="1" t="s">
        <v>151</v>
      </c>
      <c r="D5269" s="1">
        <v>1</v>
      </c>
      <c r="E5269" s="1" t="s">
        <v>4</v>
      </c>
      <c r="F5269" s="2">
        <v>20700</v>
      </c>
      <c r="G5269" s="2" t="s">
        <v>667</v>
      </c>
      <c r="H5269" s="1" t="str">
        <f t="shared" si="174"/>
        <v>平成22年2月26日</v>
      </c>
      <c r="I5269" s="22">
        <f t="shared" si="173"/>
        <v>40235</v>
      </c>
      <c r="J5269" s="1" t="str">
        <f>"00739054"</f>
        <v>00739054</v>
      </c>
      <c r="K5269" s="1" t="str">
        <f>"１９６０　　　　　　　　　　　　　　　　"</f>
        <v>１９６０　　　　　　　　　　　　　　　　</v>
      </c>
      <c r="L5269" s="1"/>
    </row>
    <row r="5270" spans="1:12" ht="18" customHeight="1" x14ac:dyDescent="0.15">
      <c r="A5270" s="1">
        <v>1335</v>
      </c>
      <c r="B5270" s="1" t="s">
        <v>28</v>
      </c>
      <c r="C5270" s="1" t="s">
        <v>151</v>
      </c>
      <c r="D5270" s="1">
        <v>1</v>
      </c>
      <c r="E5270" s="1" t="s">
        <v>4</v>
      </c>
      <c r="F5270" s="2">
        <v>20700</v>
      </c>
      <c r="G5270" s="2" t="s">
        <v>667</v>
      </c>
      <c r="H5270" s="1" t="str">
        <f t="shared" si="174"/>
        <v>平成22年2月26日</v>
      </c>
      <c r="I5270" s="22">
        <f t="shared" si="173"/>
        <v>40235</v>
      </c>
      <c r="J5270" s="1" t="str">
        <f>"00739057"</f>
        <v>00739057</v>
      </c>
      <c r="K5270" s="1" t="str">
        <f>"１９６１　　　　　　　　　　　　　　　　"</f>
        <v>１９６１　　　　　　　　　　　　　　　　</v>
      </c>
      <c r="L5270" s="1"/>
    </row>
    <row r="5271" spans="1:12" ht="18" customHeight="1" x14ac:dyDescent="0.15">
      <c r="A5271" s="1">
        <v>1336</v>
      </c>
      <c r="B5271" s="1" t="s">
        <v>28</v>
      </c>
      <c r="C5271" s="1" t="s">
        <v>151</v>
      </c>
      <c r="D5271" s="1">
        <v>1</v>
      </c>
      <c r="E5271" s="1" t="s">
        <v>4</v>
      </c>
      <c r="F5271" s="2">
        <v>20700</v>
      </c>
      <c r="G5271" s="2" t="s">
        <v>667</v>
      </c>
      <c r="H5271" s="1" t="str">
        <f t="shared" si="174"/>
        <v>平成22年2月26日</v>
      </c>
      <c r="I5271" s="22">
        <f t="shared" si="173"/>
        <v>40235</v>
      </c>
      <c r="J5271" s="1" t="str">
        <f>"00739059"</f>
        <v>00739059</v>
      </c>
      <c r="K5271" s="1" t="str">
        <f>"１９６２　　　　　　　　　　　　　　　　"</f>
        <v>１９６２　　　　　　　　　　　　　　　　</v>
      </c>
      <c r="L5271" s="1"/>
    </row>
    <row r="5272" spans="1:12" ht="18" customHeight="1" x14ac:dyDescent="0.15">
      <c r="A5272" s="1">
        <v>1337</v>
      </c>
      <c r="B5272" s="1" t="s">
        <v>28</v>
      </c>
      <c r="C5272" s="1" t="s">
        <v>151</v>
      </c>
      <c r="D5272" s="1">
        <v>1</v>
      </c>
      <c r="E5272" s="1" t="s">
        <v>4</v>
      </c>
      <c r="F5272" s="2">
        <v>20700</v>
      </c>
      <c r="G5272" s="2" t="s">
        <v>667</v>
      </c>
      <c r="H5272" s="1" t="str">
        <f t="shared" si="174"/>
        <v>平成22年2月26日</v>
      </c>
      <c r="I5272" s="22">
        <f t="shared" si="173"/>
        <v>40235</v>
      </c>
      <c r="J5272" s="1" t="str">
        <f>"00739060"</f>
        <v>00739060</v>
      </c>
      <c r="K5272" s="1" t="str">
        <f>"１９６３　　　　　　　　　　　　　　　　"</f>
        <v>１９６３　　　　　　　　　　　　　　　　</v>
      </c>
      <c r="L5272" s="1"/>
    </row>
    <row r="5273" spans="1:12" ht="18" customHeight="1" x14ac:dyDescent="0.15">
      <c r="A5273" s="1">
        <v>1338</v>
      </c>
      <c r="B5273" s="1" t="s">
        <v>28</v>
      </c>
      <c r="C5273" s="1" t="s">
        <v>151</v>
      </c>
      <c r="D5273" s="1">
        <v>1</v>
      </c>
      <c r="E5273" s="1" t="s">
        <v>4</v>
      </c>
      <c r="F5273" s="2">
        <v>20700</v>
      </c>
      <c r="G5273" s="2" t="s">
        <v>667</v>
      </c>
      <c r="H5273" s="1" t="str">
        <f t="shared" si="174"/>
        <v>平成22年2月26日</v>
      </c>
      <c r="I5273" s="22">
        <f t="shared" si="173"/>
        <v>40235</v>
      </c>
      <c r="J5273" s="1" t="str">
        <f>"00739063"</f>
        <v>00739063</v>
      </c>
      <c r="K5273" s="1" t="str">
        <f>"１９６４　　　　　　　　　　　　　　　　"</f>
        <v>１９６４　　　　　　　　　　　　　　　　</v>
      </c>
      <c r="L5273" s="1"/>
    </row>
    <row r="5274" spans="1:12" ht="18" customHeight="1" x14ac:dyDescent="0.15">
      <c r="A5274" s="1">
        <v>1339</v>
      </c>
      <c r="B5274" s="1" t="s">
        <v>28</v>
      </c>
      <c r="C5274" s="1" t="s">
        <v>151</v>
      </c>
      <c r="D5274" s="1">
        <v>1</v>
      </c>
      <c r="E5274" s="1" t="s">
        <v>4</v>
      </c>
      <c r="F5274" s="2">
        <v>20700</v>
      </c>
      <c r="G5274" s="2" t="s">
        <v>667</v>
      </c>
      <c r="H5274" s="1" t="str">
        <f t="shared" si="174"/>
        <v>平成22年2月26日</v>
      </c>
      <c r="I5274" s="22">
        <f t="shared" ref="I5274:I5337" si="175">DATEVALUE(H5274)</f>
        <v>40235</v>
      </c>
      <c r="J5274" s="1" t="str">
        <f>"00739065"</f>
        <v>00739065</v>
      </c>
      <c r="K5274" s="1" t="str">
        <f>"１９６５　　　　　　　　　　　　　　　　"</f>
        <v>１９６５　　　　　　　　　　　　　　　　</v>
      </c>
      <c r="L5274" s="1"/>
    </row>
    <row r="5275" spans="1:12" ht="18" customHeight="1" x14ac:dyDescent="0.15">
      <c r="A5275" s="1">
        <v>1340</v>
      </c>
      <c r="B5275" s="1" t="s">
        <v>28</v>
      </c>
      <c r="C5275" s="1" t="s">
        <v>151</v>
      </c>
      <c r="D5275" s="1">
        <v>1</v>
      </c>
      <c r="E5275" s="1" t="s">
        <v>4</v>
      </c>
      <c r="F5275" s="2">
        <v>20700</v>
      </c>
      <c r="G5275" s="2" t="s">
        <v>667</v>
      </c>
      <c r="H5275" s="1" t="str">
        <f t="shared" si="174"/>
        <v>平成22年2月26日</v>
      </c>
      <c r="I5275" s="22">
        <f t="shared" si="175"/>
        <v>40235</v>
      </c>
      <c r="J5275" s="1" t="str">
        <f>"00739066"</f>
        <v>00739066</v>
      </c>
      <c r="K5275" s="1" t="str">
        <f>"１９６６　　　　　　　　　　　　　　　　"</f>
        <v>１９６６　　　　　　　　　　　　　　　　</v>
      </c>
      <c r="L5275" s="1"/>
    </row>
    <row r="5276" spans="1:12" ht="18" customHeight="1" x14ac:dyDescent="0.15">
      <c r="A5276" s="1">
        <v>1341</v>
      </c>
      <c r="B5276" s="1" t="s">
        <v>28</v>
      </c>
      <c r="C5276" s="1" t="s">
        <v>151</v>
      </c>
      <c r="D5276" s="1">
        <v>1</v>
      </c>
      <c r="E5276" s="1" t="s">
        <v>4</v>
      </c>
      <c r="F5276" s="2">
        <v>20700</v>
      </c>
      <c r="G5276" s="2" t="s">
        <v>667</v>
      </c>
      <c r="H5276" s="1" t="str">
        <f t="shared" si="174"/>
        <v>平成22年2月26日</v>
      </c>
      <c r="I5276" s="22">
        <f t="shared" si="175"/>
        <v>40235</v>
      </c>
      <c r="J5276" s="1" t="str">
        <f>"00739068"</f>
        <v>00739068</v>
      </c>
      <c r="K5276" s="1" t="str">
        <f>"１９６７　　　　　　　　　　　　　　　　"</f>
        <v>１９６７　　　　　　　　　　　　　　　　</v>
      </c>
      <c r="L5276" s="1"/>
    </row>
    <row r="5277" spans="1:12" ht="18" customHeight="1" x14ac:dyDescent="0.15">
      <c r="A5277" s="1">
        <v>1342</v>
      </c>
      <c r="B5277" s="1" t="s">
        <v>28</v>
      </c>
      <c r="C5277" s="1" t="s">
        <v>151</v>
      </c>
      <c r="D5277" s="1">
        <v>1</v>
      </c>
      <c r="E5277" s="1" t="s">
        <v>4</v>
      </c>
      <c r="F5277" s="2">
        <v>20700</v>
      </c>
      <c r="G5277" s="2" t="s">
        <v>667</v>
      </c>
      <c r="H5277" s="1" t="str">
        <f t="shared" si="174"/>
        <v>平成22年2月26日</v>
      </c>
      <c r="I5277" s="22">
        <f t="shared" si="175"/>
        <v>40235</v>
      </c>
      <c r="J5277" s="1" t="str">
        <f>"00739071"</f>
        <v>00739071</v>
      </c>
      <c r="K5277" s="1" t="str">
        <f>"１９６８　　　　　　　　　　　　　　　　"</f>
        <v>１９６８　　　　　　　　　　　　　　　　</v>
      </c>
      <c r="L5277" s="1"/>
    </row>
    <row r="5278" spans="1:12" ht="18" customHeight="1" x14ac:dyDescent="0.15">
      <c r="A5278" s="1">
        <v>1343</v>
      </c>
      <c r="B5278" s="1" t="s">
        <v>28</v>
      </c>
      <c r="C5278" s="1" t="s">
        <v>151</v>
      </c>
      <c r="D5278" s="1">
        <v>1</v>
      </c>
      <c r="E5278" s="1" t="s">
        <v>4</v>
      </c>
      <c r="F5278" s="2">
        <v>20700</v>
      </c>
      <c r="G5278" s="2" t="s">
        <v>667</v>
      </c>
      <c r="H5278" s="1" t="str">
        <f t="shared" si="174"/>
        <v>平成22年2月26日</v>
      </c>
      <c r="I5278" s="22">
        <f t="shared" si="175"/>
        <v>40235</v>
      </c>
      <c r="J5278" s="1" t="str">
        <f>"00739073"</f>
        <v>00739073</v>
      </c>
      <c r="K5278" s="1" t="str">
        <f>"１９６９　　　　　　　　　　　　　　　　"</f>
        <v>１９６９　　　　　　　　　　　　　　　　</v>
      </c>
      <c r="L5278" s="1"/>
    </row>
    <row r="5279" spans="1:12" ht="18" customHeight="1" x14ac:dyDescent="0.15">
      <c r="A5279" s="1">
        <v>1344</v>
      </c>
      <c r="B5279" s="1" t="s">
        <v>28</v>
      </c>
      <c r="C5279" s="1" t="s">
        <v>151</v>
      </c>
      <c r="D5279" s="1">
        <v>1</v>
      </c>
      <c r="E5279" s="1" t="s">
        <v>4</v>
      </c>
      <c r="F5279" s="2">
        <v>20700</v>
      </c>
      <c r="G5279" s="2" t="s">
        <v>667</v>
      </c>
      <c r="H5279" s="1" t="str">
        <f t="shared" si="174"/>
        <v>平成22年2月26日</v>
      </c>
      <c r="I5279" s="22">
        <f t="shared" si="175"/>
        <v>40235</v>
      </c>
      <c r="J5279" s="1" t="str">
        <f>"00739074"</f>
        <v>00739074</v>
      </c>
      <c r="K5279" s="1" t="str">
        <f>"１９７０　　　　　　　　　　　　　　　　"</f>
        <v>１９７０　　　　　　　　　　　　　　　　</v>
      </c>
      <c r="L5279" s="1"/>
    </row>
    <row r="5280" spans="1:12" ht="18" customHeight="1" x14ac:dyDescent="0.15">
      <c r="A5280" s="1">
        <v>1345</v>
      </c>
      <c r="B5280" s="1" t="s">
        <v>28</v>
      </c>
      <c r="C5280" s="1" t="s">
        <v>151</v>
      </c>
      <c r="D5280" s="1">
        <v>1</v>
      </c>
      <c r="E5280" s="1" t="s">
        <v>4</v>
      </c>
      <c r="F5280" s="2">
        <v>20700</v>
      </c>
      <c r="G5280" s="2" t="s">
        <v>667</v>
      </c>
      <c r="H5280" s="1" t="str">
        <f t="shared" si="174"/>
        <v>平成22年2月26日</v>
      </c>
      <c r="I5280" s="22">
        <f t="shared" si="175"/>
        <v>40235</v>
      </c>
      <c r="J5280" s="1" t="str">
        <f>"00739077"</f>
        <v>00739077</v>
      </c>
      <c r="K5280" s="1" t="str">
        <f>"１９７１　　　　　　　　　　　　　　　　"</f>
        <v>１９７１　　　　　　　　　　　　　　　　</v>
      </c>
      <c r="L5280" s="1"/>
    </row>
    <row r="5281" spans="1:12" ht="18" customHeight="1" x14ac:dyDescent="0.15">
      <c r="A5281" s="1">
        <v>1346</v>
      </c>
      <c r="B5281" s="1" t="s">
        <v>28</v>
      </c>
      <c r="C5281" s="1" t="s">
        <v>151</v>
      </c>
      <c r="D5281" s="1">
        <v>1</v>
      </c>
      <c r="E5281" s="1" t="s">
        <v>4</v>
      </c>
      <c r="F5281" s="2">
        <v>20700</v>
      </c>
      <c r="G5281" s="2" t="s">
        <v>667</v>
      </c>
      <c r="H5281" s="1" t="str">
        <f t="shared" si="174"/>
        <v>平成22年2月26日</v>
      </c>
      <c r="I5281" s="22">
        <f t="shared" si="175"/>
        <v>40235</v>
      </c>
      <c r="J5281" s="1" t="str">
        <f>"00739079"</f>
        <v>00739079</v>
      </c>
      <c r="K5281" s="1" t="str">
        <f>"１９７２　　　　　　　　　　　　　　　　"</f>
        <v>１９７２　　　　　　　　　　　　　　　　</v>
      </c>
      <c r="L5281" s="1"/>
    </row>
    <row r="5282" spans="1:12" ht="18" customHeight="1" x14ac:dyDescent="0.15">
      <c r="A5282" s="1">
        <v>1347</v>
      </c>
      <c r="B5282" s="1" t="s">
        <v>28</v>
      </c>
      <c r="C5282" s="1" t="s">
        <v>151</v>
      </c>
      <c r="D5282" s="1">
        <v>1</v>
      </c>
      <c r="E5282" s="1" t="s">
        <v>4</v>
      </c>
      <c r="F5282" s="2">
        <v>20700</v>
      </c>
      <c r="G5282" s="2" t="s">
        <v>667</v>
      </c>
      <c r="H5282" s="1" t="str">
        <f t="shared" si="174"/>
        <v>平成22年2月26日</v>
      </c>
      <c r="I5282" s="22">
        <f t="shared" si="175"/>
        <v>40235</v>
      </c>
      <c r="J5282" s="1" t="str">
        <f>"00739081"</f>
        <v>00739081</v>
      </c>
      <c r="K5282" s="1" t="str">
        <f>"１９７３　　　　　　　　　　　　　　　　"</f>
        <v>１９７３　　　　　　　　　　　　　　　　</v>
      </c>
      <c r="L5282" s="1"/>
    </row>
    <row r="5283" spans="1:12" ht="18" customHeight="1" x14ac:dyDescent="0.15">
      <c r="A5283" s="1">
        <v>1348</v>
      </c>
      <c r="B5283" s="1" t="s">
        <v>28</v>
      </c>
      <c r="C5283" s="1" t="s">
        <v>151</v>
      </c>
      <c r="D5283" s="1">
        <v>1</v>
      </c>
      <c r="E5283" s="1" t="s">
        <v>4</v>
      </c>
      <c r="F5283" s="2">
        <v>20700</v>
      </c>
      <c r="G5283" s="2" t="s">
        <v>667</v>
      </c>
      <c r="H5283" s="1" t="str">
        <f t="shared" si="174"/>
        <v>平成22年2月26日</v>
      </c>
      <c r="I5283" s="22">
        <f t="shared" si="175"/>
        <v>40235</v>
      </c>
      <c r="J5283" s="1" t="str">
        <f>"00739083"</f>
        <v>00739083</v>
      </c>
      <c r="K5283" s="1" t="str">
        <f>"１９７４　　　　　　　　　　　　　　　　"</f>
        <v>１９７４　　　　　　　　　　　　　　　　</v>
      </c>
      <c r="L5283" s="1"/>
    </row>
    <row r="5284" spans="1:12" ht="18" customHeight="1" x14ac:dyDescent="0.15">
      <c r="A5284" s="1">
        <v>1349</v>
      </c>
      <c r="B5284" s="1" t="s">
        <v>28</v>
      </c>
      <c r="C5284" s="1" t="s">
        <v>151</v>
      </c>
      <c r="D5284" s="1">
        <v>1</v>
      </c>
      <c r="E5284" s="1" t="s">
        <v>4</v>
      </c>
      <c r="F5284" s="2">
        <v>20700</v>
      </c>
      <c r="G5284" s="2" t="s">
        <v>667</v>
      </c>
      <c r="H5284" s="1" t="str">
        <f t="shared" si="174"/>
        <v>平成22年2月26日</v>
      </c>
      <c r="I5284" s="22">
        <f t="shared" si="175"/>
        <v>40235</v>
      </c>
      <c r="J5284" s="1" t="str">
        <f>"00739085"</f>
        <v>00739085</v>
      </c>
      <c r="K5284" s="1" t="str">
        <f>"１９７５　　　　　　　　　　　　　　　　"</f>
        <v>１９７５　　　　　　　　　　　　　　　　</v>
      </c>
      <c r="L5284" s="1"/>
    </row>
    <row r="5285" spans="1:12" ht="18" customHeight="1" x14ac:dyDescent="0.15">
      <c r="A5285" s="1">
        <v>1350</v>
      </c>
      <c r="B5285" s="1" t="s">
        <v>28</v>
      </c>
      <c r="C5285" s="1" t="s">
        <v>151</v>
      </c>
      <c r="D5285" s="1">
        <v>1</v>
      </c>
      <c r="E5285" s="1" t="s">
        <v>4</v>
      </c>
      <c r="F5285" s="2">
        <v>20700</v>
      </c>
      <c r="G5285" s="2" t="s">
        <v>667</v>
      </c>
      <c r="H5285" s="1" t="str">
        <f t="shared" ref="H5285:H5348" si="176">"平成22年2月26日"</f>
        <v>平成22年2月26日</v>
      </c>
      <c r="I5285" s="22">
        <f t="shared" si="175"/>
        <v>40235</v>
      </c>
      <c r="J5285" s="1" t="str">
        <f>"00739087"</f>
        <v>00739087</v>
      </c>
      <c r="K5285" s="1" t="str">
        <f>"１９７６　　　　　　　　　　　　　　　　"</f>
        <v>１９７６　　　　　　　　　　　　　　　　</v>
      </c>
      <c r="L5285" s="1"/>
    </row>
    <row r="5286" spans="1:12" ht="18" customHeight="1" x14ac:dyDescent="0.15">
      <c r="A5286" s="1">
        <v>1351</v>
      </c>
      <c r="B5286" s="1" t="s">
        <v>28</v>
      </c>
      <c r="C5286" s="1" t="s">
        <v>151</v>
      </c>
      <c r="D5286" s="1">
        <v>1</v>
      </c>
      <c r="E5286" s="1" t="s">
        <v>4</v>
      </c>
      <c r="F5286" s="2">
        <v>20700</v>
      </c>
      <c r="G5286" s="2" t="s">
        <v>667</v>
      </c>
      <c r="H5286" s="1" t="str">
        <f t="shared" si="176"/>
        <v>平成22年2月26日</v>
      </c>
      <c r="I5286" s="22">
        <f t="shared" si="175"/>
        <v>40235</v>
      </c>
      <c r="J5286" s="1" t="str">
        <f>"00739089"</f>
        <v>00739089</v>
      </c>
      <c r="K5286" s="1" t="str">
        <f>"１９７７　　　　　　　　　　　　　　　　"</f>
        <v>１９７７　　　　　　　　　　　　　　　　</v>
      </c>
      <c r="L5286" s="1"/>
    </row>
    <row r="5287" spans="1:12" ht="18" customHeight="1" x14ac:dyDescent="0.15">
      <c r="A5287" s="1">
        <v>1352</v>
      </c>
      <c r="B5287" s="1" t="s">
        <v>28</v>
      </c>
      <c r="C5287" s="1" t="s">
        <v>151</v>
      </c>
      <c r="D5287" s="1">
        <v>1</v>
      </c>
      <c r="E5287" s="1" t="s">
        <v>4</v>
      </c>
      <c r="F5287" s="2">
        <v>20700</v>
      </c>
      <c r="G5287" s="2" t="s">
        <v>667</v>
      </c>
      <c r="H5287" s="1" t="str">
        <f t="shared" si="176"/>
        <v>平成22年2月26日</v>
      </c>
      <c r="I5287" s="22">
        <f t="shared" si="175"/>
        <v>40235</v>
      </c>
      <c r="J5287" s="1" t="str">
        <f>"00739091"</f>
        <v>00739091</v>
      </c>
      <c r="K5287" s="1" t="str">
        <f>"１９７８　　　　　　　　　　　　　　　　"</f>
        <v>１９７８　　　　　　　　　　　　　　　　</v>
      </c>
      <c r="L5287" s="1"/>
    </row>
    <row r="5288" spans="1:12" ht="18" customHeight="1" x14ac:dyDescent="0.15">
      <c r="A5288" s="1">
        <v>1353</v>
      </c>
      <c r="B5288" s="1" t="s">
        <v>28</v>
      </c>
      <c r="C5288" s="1" t="s">
        <v>151</v>
      </c>
      <c r="D5288" s="1">
        <v>1</v>
      </c>
      <c r="E5288" s="1" t="s">
        <v>4</v>
      </c>
      <c r="F5288" s="2">
        <v>20700</v>
      </c>
      <c r="G5288" s="2" t="s">
        <v>667</v>
      </c>
      <c r="H5288" s="1" t="str">
        <f t="shared" si="176"/>
        <v>平成22年2月26日</v>
      </c>
      <c r="I5288" s="22">
        <f t="shared" si="175"/>
        <v>40235</v>
      </c>
      <c r="J5288" s="1" t="str">
        <f>"00739093"</f>
        <v>00739093</v>
      </c>
      <c r="K5288" s="1" t="str">
        <f>"１９７９　　　　　　　　　　　　　　　　"</f>
        <v>１９７９　　　　　　　　　　　　　　　　</v>
      </c>
      <c r="L5288" s="1"/>
    </row>
    <row r="5289" spans="1:12" ht="18" customHeight="1" x14ac:dyDescent="0.15">
      <c r="A5289" s="1">
        <v>1354</v>
      </c>
      <c r="B5289" s="1" t="s">
        <v>28</v>
      </c>
      <c r="C5289" s="1" t="s">
        <v>151</v>
      </c>
      <c r="D5289" s="1">
        <v>1</v>
      </c>
      <c r="E5289" s="1" t="s">
        <v>4</v>
      </c>
      <c r="F5289" s="2">
        <v>20700</v>
      </c>
      <c r="G5289" s="2" t="s">
        <v>667</v>
      </c>
      <c r="H5289" s="1" t="str">
        <f t="shared" si="176"/>
        <v>平成22年2月26日</v>
      </c>
      <c r="I5289" s="22">
        <f t="shared" si="175"/>
        <v>40235</v>
      </c>
      <c r="J5289" s="1" t="str">
        <f>"00739095"</f>
        <v>00739095</v>
      </c>
      <c r="K5289" s="1" t="str">
        <f>"１９８０　　　　　　　　　　　　　　　　"</f>
        <v>１９８０　　　　　　　　　　　　　　　　</v>
      </c>
      <c r="L5289" s="1"/>
    </row>
    <row r="5290" spans="1:12" ht="18" customHeight="1" x14ac:dyDescent="0.15">
      <c r="A5290" s="1">
        <v>1355</v>
      </c>
      <c r="B5290" s="1" t="s">
        <v>28</v>
      </c>
      <c r="C5290" s="1" t="s">
        <v>151</v>
      </c>
      <c r="D5290" s="1">
        <v>1</v>
      </c>
      <c r="E5290" s="1" t="s">
        <v>4</v>
      </c>
      <c r="F5290" s="2">
        <v>20700</v>
      </c>
      <c r="G5290" s="2" t="s">
        <v>667</v>
      </c>
      <c r="H5290" s="1" t="str">
        <f t="shared" si="176"/>
        <v>平成22年2月26日</v>
      </c>
      <c r="I5290" s="22">
        <f t="shared" si="175"/>
        <v>40235</v>
      </c>
      <c r="J5290" s="1" t="str">
        <f>"00739097"</f>
        <v>00739097</v>
      </c>
      <c r="K5290" s="1" t="str">
        <f>"１９８１　　　　　　　　　　　　　　　　"</f>
        <v>１９８１　　　　　　　　　　　　　　　　</v>
      </c>
      <c r="L5290" s="1"/>
    </row>
    <row r="5291" spans="1:12" ht="18" customHeight="1" x14ac:dyDescent="0.15">
      <c r="A5291" s="1">
        <v>1356</v>
      </c>
      <c r="B5291" s="1" t="s">
        <v>28</v>
      </c>
      <c r="C5291" s="1" t="s">
        <v>151</v>
      </c>
      <c r="D5291" s="1">
        <v>1</v>
      </c>
      <c r="E5291" s="1" t="s">
        <v>4</v>
      </c>
      <c r="F5291" s="2">
        <v>20700</v>
      </c>
      <c r="G5291" s="2" t="s">
        <v>667</v>
      </c>
      <c r="H5291" s="1" t="str">
        <f t="shared" si="176"/>
        <v>平成22年2月26日</v>
      </c>
      <c r="I5291" s="22">
        <f t="shared" si="175"/>
        <v>40235</v>
      </c>
      <c r="J5291" s="1" t="str">
        <f>"00739099"</f>
        <v>00739099</v>
      </c>
      <c r="K5291" s="1" t="str">
        <f>"１９８２　　　　　　　　　　　　　　　　"</f>
        <v>１９８２　　　　　　　　　　　　　　　　</v>
      </c>
      <c r="L5291" s="1"/>
    </row>
    <row r="5292" spans="1:12" ht="18" customHeight="1" x14ac:dyDescent="0.15">
      <c r="A5292" s="1">
        <v>1357</v>
      </c>
      <c r="B5292" s="1" t="s">
        <v>28</v>
      </c>
      <c r="C5292" s="1" t="s">
        <v>151</v>
      </c>
      <c r="D5292" s="1">
        <v>1</v>
      </c>
      <c r="E5292" s="1" t="s">
        <v>4</v>
      </c>
      <c r="F5292" s="2">
        <v>20700</v>
      </c>
      <c r="G5292" s="2" t="s">
        <v>667</v>
      </c>
      <c r="H5292" s="1" t="str">
        <f t="shared" si="176"/>
        <v>平成22年2月26日</v>
      </c>
      <c r="I5292" s="22">
        <f t="shared" si="175"/>
        <v>40235</v>
      </c>
      <c r="J5292" s="1" t="str">
        <f>"00739101"</f>
        <v>00739101</v>
      </c>
      <c r="K5292" s="1" t="str">
        <f>"１９８３　　　　　　　　　　　　　　　　"</f>
        <v>１９８３　　　　　　　　　　　　　　　　</v>
      </c>
      <c r="L5292" s="1"/>
    </row>
    <row r="5293" spans="1:12" ht="18" customHeight="1" x14ac:dyDescent="0.15">
      <c r="A5293" s="1">
        <v>1358</v>
      </c>
      <c r="B5293" s="1" t="s">
        <v>28</v>
      </c>
      <c r="C5293" s="1" t="s">
        <v>151</v>
      </c>
      <c r="D5293" s="1">
        <v>1</v>
      </c>
      <c r="E5293" s="1" t="s">
        <v>4</v>
      </c>
      <c r="F5293" s="2">
        <v>20700</v>
      </c>
      <c r="G5293" s="2" t="s">
        <v>667</v>
      </c>
      <c r="H5293" s="1" t="str">
        <f t="shared" si="176"/>
        <v>平成22年2月26日</v>
      </c>
      <c r="I5293" s="22">
        <f t="shared" si="175"/>
        <v>40235</v>
      </c>
      <c r="J5293" s="1" t="str">
        <f>"00739103"</f>
        <v>00739103</v>
      </c>
      <c r="K5293" s="1" t="str">
        <f>"１９８４　　　　　　　　　　　　　　　　"</f>
        <v>１９８４　　　　　　　　　　　　　　　　</v>
      </c>
      <c r="L5293" s="1"/>
    </row>
    <row r="5294" spans="1:12" ht="18" customHeight="1" x14ac:dyDescent="0.15">
      <c r="A5294" s="1">
        <v>1359</v>
      </c>
      <c r="B5294" s="1" t="s">
        <v>28</v>
      </c>
      <c r="C5294" s="1" t="s">
        <v>151</v>
      </c>
      <c r="D5294" s="1">
        <v>1</v>
      </c>
      <c r="E5294" s="1" t="s">
        <v>4</v>
      </c>
      <c r="F5294" s="2">
        <v>20700</v>
      </c>
      <c r="G5294" s="2" t="s">
        <v>667</v>
      </c>
      <c r="H5294" s="1" t="str">
        <f t="shared" si="176"/>
        <v>平成22年2月26日</v>
      </c>
      <c r="I5294" s="22">
        <f t="shared" si="175"/>
        <v>40235</v>
      </c>
      <c r="J5294" s="1" t="str">
        <f>"00739105"</f>
        <v>00739105</v>
      </c>
      <c r="K5294" s="1" t="str">
        <f>"１９８５　　　　　　　　　　　　　　　　"</f>
        <v>１９８５　　　　　　　　　　　　　　　　</v>
      </c>
      <c r="L5294" s="1"/>
    </row>
    <row r="5295" spans="1:12" ht="18" customHeight="1" x14ac:dyDescent="0.15">
      <c r="A5295" s="1">
        <v>1360</v>
      </c>
      <c r="B5295" s="1" t="s">
        <v>28</v>
      </c>
      <c r="C5295" s="1" t="s">
        <v>151</v>
      </c>
      <c r="D5295" s="1">
        <v>1</v>
      </c>
      <c r="E5295" s="1" t="s">
        <v>4</v>
      </c>
      <c r="F5295" s="2">
        <v>20700</v>
      </c>
      <c r="G5295" s="2" t="s">
        <v>667</v>
      </c>
      <c r="H5295" s="1" t="str">
        <f t="shared" si="176"/>
        <v>平成22年2月26日</v>
      </c>
      <c r="I5295" s="22">
        <f t="shared" si="175"/>
        <v>40235</v>
      </c>
      <c r="J5295" s="1" t="str">
        <f>"00739107"</f>
        <v>00739107</v>
      </c>
      <c r="K5295" s="1" t="str">
        <f>"１９８６　　　　　　　　　　　　　　　　"</f>
        <v>１９８６　　　　　　　　　　　　　　　　</v>
      </c>
      <c r="L5295" s="1"/>
    </row>
    <row r="5296" spans="1:12" ht="18" customHeight="1" x14ac:dyDescent="0.15">
      <c r="A5296" s="1">
        <v>1361</v>
      </c>
      <c r="B5296" s="1" t="s">
        <v>28</v>
      </c>
      <c r="C5296" s="1" t="s">
        <v>151</v>
      </c>
      <c r="D5296" s="1">
        <v>1</v>
      </c>
      <c r="E5296" s="1" t="s">
        <v>4</v>
      </c>
      <c r="F5296" s="2">
        <v>20700</v>
      </c>
      <c r="G5296" s="2" t="s">
        <v>667</v>
      </c>
      <c r="H5296" s="1" t="str">
        <f t="shared" si="176"/>
        <v>平成22年2月26日</v>
      </c>
      <c r="I5296" s="22">
        <f t="shared" si="175"/>
        <v>40235</v>
      </c>
      <c r="J5296" s="1" t="str">
        <f>"00739109"</f>
        <v>00739109</v>
      </c>
      <c r="K5296" s="1" t="str">
        <f>"１９８７　　　　　　　　　　　　　　　　"</f>
        <v>１９８７　　　　　　　　　　　　　　　　</v>
      </c>
      <c r="L5296" s="1"/>
    </row>
    <row r="5297" spans="1:12" ht="18" customHeight="1" x14ac:dyDescent="0.15">
      <c r="A5297" s="1">
        <v>1362</v>
      </c>
      <c r="B5297" s="1" t="s">
        <v>28</v>
      </c>
      <c r="C5297" s="1" t="s">
        <v>151</v>
      </c>
      <c r="D5297" s="1">
        <v>1</v>
      </c>
      <c r="E5297" s="1" t="s">
        <v>4</v>
      </c>
      <c r="F5297" s="2">
        <v>20700</v>
      </c>
      <c r="G5297" s="2" t="s">
        <v>667</v>
      </c>
      <c r="H5297" s="1" t="str">
        <f t="shared" si="176"/>
        <v>平成22年2月26日</v>
      </c>
      <c r="I5297" s="22">
        <f t="shared" si="175"/>
        <v>40235</v>
      </c>
      <c r="J5297" s="1" t="str">
        <f>"00739111"</f>
        <v>00739111</v>
      </c>
      <c r="K5297" s="1" t="str">
        <f>"１９８８　　　　　　　　　　　　　　　　"</f>
        <v>１９８８　　　　　　　　　　　　　　　　</v>
      </c>
      <c r="L5297" s="1"/>
    </row>
    <row r="5298" spans="1:12" ht="18" customHeight="1" x14ac:dyDescent="0.15">
      <c r="A5298" s="1">
        <v>1363</v>
      </c>
      <c r="B5298" s="1" t="s">
        <v>28</v>
      </c>
      <c r="C5298" s="1" t="s">
        <v>151</v>
      </c>
      <c r="D5298" s="1">
        <v>1</v>
      </c>
      <c r="E5298" s="1" t="s">
        <v>4</v>
      </c>
      <c r="F5298" s="2">
        <v>20700</v>
      </c>
      <c r="G5298" s="2" t="s">
        <v>667</v>
      </c>
      <c r="H5298" s="1" t="str">
        <f t="shared" si="176"/>
        <v>平成22年2月26日</v>
      </c>
      <c r="I5298" s="22">
        <f t="shared" si="175"/>
        <v>40235</v>
      </c>
      <c r="J5298" s="1" t="str">
        <f>"00739113"</f>
        <v>00739113</v>
      </c>
      <c r="K5298" s="1" t="str">
        <f>"１９８９　　　　　　　　　　　　　　　　"</f>
        <v>１９８９　　　　　　　　　　　　　　　　</v>
      </c>
      <c r="L5298" s="1"/>
    </row>
    <row r="5299" spans="1:12" ht="18" customHeight="1" x14ac:dyDescent="0.15">
      <c r="A5299" s="1">
        <v>1364</v>
      </c>
      <c r="B5299" s="1" t="s">
        <v>28</v>
      </c>
      <c r="C5299" s="1" t="s">
        <v>151</v>
      </c>
      <c r="D5299" s="1">
        <v>1</v>
      </c>
      <c r="E5299" s="1" t="s">
        <v>4</v>
      </c>
      <c r="F5299" s="2">
        <v>20700</v>
      </c>
      <c r="G5299" s="2" t="s">
        <v>667</v>
      </c>
      <c r="H5299" s="1" t="str">
        <f t="shared" si="176"/>
        <v>平成22年2月26日</v>
      </c>
      <c r="I5299" s="22">
        <f t="shared" si="175"/>
        <v>40235</v>
      </c>
      <c r="J5299" s="1" t="str">
        <f>"00739115"</f>
        <v>00739115</v>
      </c>
      <c r="K5299" s="1" t="str">
        <f>"１９９０　　　　　　　　　　　　　　　　"</f>
        <v>１９９０　　　　　　　　　　　　　　　　</v>
      </c>
      <c r="L5299" s="1"/>
    </row>
    <row r="5300" spans="1:12" ht="18" customHeight="1" x14ac:dyDescent="0.15">
      <c r="A5300" s="1">
        <v>1365</v>
      </c>
      <c r="B5300" s="1" t="s">
        <v>28</v>
      </c>
      <c r="C5300" s="1" t="s">
        <v>151</v>
      </c>
      <c r="D5300" s="1">
        <v>1</v>
      </c>
      <c r="E5300" s="1" t="s">
        <v>4</v>
      </c>
      <c r="F5300" s="2">
        <v>20700</v>
      </c>
      <c r="G5300" s="2" t="s">
        <v>667</v>
      </c>
      <c r="H5300" s="1" t="str">
        <f t="shared" si="176"/>
        <v>平成22年2月26日</v>
      </c>
      <c r="I5300" s="22">
        <f t="shared" si="175"/>
        <v>40235</v>
      </c>
      <c r="J5300" s="1" t="str">
        <f>"00739117"</f>
        <v>00739117</v>
      </c>
      <c r="K5300" s="1" t="str">
        <f>"１９９１　　　　　　　　　　　　　　　　"</f>
        <v>１９９１　　　　　　　　　　　　　　　　</v>
      </c>
      <c r="L5300" s="1"/>
    </row>
    <row r="5301" spans="1:12" ht="18" customHeight="1" x14ac:dyDescent="0.15">
      <c r="A5301" s="1">
        <v>1366</v>
      </c>
      <c r="B5301" s="1" t="s">
        <v>28</v>
      </c>
      <c r="C5301" s="1" t="s">
        <v>151</v>
      </c>
      <c r="D5301" s="1">
        <v>1</v>
      </c>
      <c r="E5301" s="1" t="s">
        <v>4</v>
      </c>
      <c r="F5301" s="2">
        <v>20700</v>
      </c>
      <c r="G5301" s="2" t="s">
        <v>667</v>
      </c>
      <c r="H5301" s="1" t="str">
        <f t="shared" si="176"/>
        <v>平成22年2月26日</v>
      </c>
      <c r="I5301" s="22">
        <f t="shared" si="175"/>
        <v>40235</v>
      </c>
      <c r="J5301" s="1" t="str">
        <f>"00739119"</f>
        <v>00739119</v>
      </c>
      <c r="K5301" s="1" t="str">
        <f>"１９９２　　　　　　　　　　　　　　　　"</f>
        <v>１９９２　　　　　　　　　　　　　　　　</v>
      </c>
      <c r="L5301" s="1"/>
    </row>
    <row r="5302" spans="1:12" ht="18" customHeight="1" x14ac:dyDescent="0.15">
      <c r="A5302" s="1">
        <v>1367</v>
      </c>
      <c r="B5302" s="1" t="s">
        <v>28</v>
      </c>
      <c r="C5302" s="1" t="s">
        <v>151</v>
      </c>
      <c r="D5302" s="1">
        <v>1</v>
      </c>
      <c r="E5302" s="1" t="s">
        <v>4</v>
      </c>
      <c r="F5302" s="2">
        <v>20700</v>
      </c>
      <c r="G5302" s="2" t="s">
        <v>667</v>
      </c>
      <c r="H5302" s="1" t="str">
        <f t="shared" si="176"/>
        <v>平成22年2月26日</v>
      </c>
      <c r="I5302" s="22">
        <f t="shared" si="175"/>
        <v>40235</v>
      </c>
      <c r="J5302" s="1" t="str">
        <f>"00739121"</f>
        <v>00739121</v>
      </c>
      <c r="K5302" s="1" t="str">
        <f>"１９９３　　　　　　　　　　　　　　　　"</f>
        <v>１９９３　　　　　　　　　　　　　　　　</v>
      </c>
      <c r="L5302" s="1"/>
    </row>
    <row r="5303" spans="1:12" ht="18" customHeight="1" x14ac:dyDescent="0.15">
      <c r="A5303" s="1">
        <v>1368</v>
      </c>
      <c r="B5303" s="1" t="s">
        <v>28</v>
      </c>
      <c r="C5303" s="1" t="s">
        <v>151</v>
      </c>
      <c r="D5303" s="1">
        <v>1</v>
      </c>
      <c r="E5303" s="1" t="s">
        <v>4</v>
      </c>
      <c r="F5303" s="2">
        <v>20700</v>
      </c>
      <c r="G5303" s="2" t="s">
        <v>667</v>
      </c>
      <c r="H5303" s="1" t="str">
        <f t="shared" si="176"/>
        <v>平成22年2月26日</v>
      </c>
      <c r="I5303" s="22">
        <f t="shared" si="175"/>
        <v>40235</v>
      </c>
      <c r="J5303" s="1" t="str">
        <f>"00739123"</f>
        <v>00739123</v>
      </c>
      <c r="K5303" s="1" t="str">
        <f>"１９９４　　　　　　　　　　　　　　　　"</f>
        <v>１９９４　　　　　　　　　　　　　　　　</v>
      </c>
      <c r="L5303" s="1"/>
    </row>
    <row r="5304" spans="1:12" ht="18" customHeight="1" x14ac:dyDescent="0.15">
      <c r="A5304" s="1">
        <v>1369</v>
      </c>
      <c r="B5304" s="1" t="s">
        <v>28</v>
      </c>
      <c r="C5304" s="1" t="s">
        <v>151</v>
      </c>
      <c r="D5304" s="1">
        <v>1</v>
      </c>
      <c r="E5304" s="1" t="s">
        <v>4</v>
      </c>
      <c r="F5304" s="2">
        <v>20700</v>
      </c>
      <c r="G5304" s="2" t="s">
        <v>667</v>
      </c>
      <c r="H5304" s="1" t="str">
        <f t="shared" si="176"/>
        <v>平成22年2月26日</v>
      </c>
      <c r="I5304" s="22">
        <f t="shared" si="175"/>
        <v>40235</v>
      </c>
      <c r="J5304" s="1" t="str">
        <f>"00739125"</f>
        <v>00739125</v>
      </c>
      <c r="K5304" s="1" t="str">
        <f>"１９９５　　　　　　　　　　　　　　　　"</f>
        <v>１９９５　　　　　　　　　　　　　　　　</v>
      </c>
      <c r="L5304" s="1"/>
    </row>
    <row r="5305" spans="1:12" ht="18" customHeight="1" x14ac:dyDescent="0.15">
      <c r="A5305" s="1">
        <v>1370</v>
      </c>
      <c r="B5305" s="1" t="s">
        <v>28</v>
      </c>
      <c r="C5305" s="1" t="s">
        <v>151</v>
      </c>
      <c r="D5305" s="1">
        <v>1</v>
      </c>
      <c r="E5305" s="1" t="s">
        <v>4</v>
      </c>
      <c r="F5305" s="2">
        <v>20700</v>
      </c>
      <c r="G5305" s="2" t="s">
        <v>667</v>
      </c>
      <c r="H5305" s="1" t="str">
        <f t="shared" si="176"/>
        <v>平成22年2月26日</v>
      </c>
      <c r="I5305" s="22">
        <f t="shared" si="175"/>
        <v>40235</v>
      </c>
      <c r="J5305" s="1" t="str">
        <f>"00739127"</f>
        <v>00739127</v>
      </c>
      <c r="K5305" s="1" t="str">
        <f>"１９９６　　　　　　　　　　　　　　　　"</f>
        <v>１９９６　　　　　　　　　　　　　　　　</v>
      </c>
      <c r="L5305" s="1"/>
    </row>
    <row r="5306" spans="1:12" ht="18" customHeight="1" x14ac:dyDescent="0.15">
      <c r="A5306" s="1">
        <v>1371</v>
      </c>
      <c r="B5306" s="1" t="s">
        <v>28</v>
      </c>
      <c r="C5306" s="1" t="s">
        <v>151</v>
      </c>
      <c r="D5306" s="1">
        <v>1</v>
      </c>
      <c r="E5306" s="1" t="s">
        <v>4</v>
      </c>
      <c r="F5306" s="2">
        <v>20700</v>
      </c>
      <c r="G5306" s="2" t="s">
        <v>667</v>
      </c>
      <c r="H5306" s="1" t="str">
        <f t="shared" si="176"/>
        <v>平成22年2月26日</v>
      </c>
      <c r="I5306" s="22">
        <f t="shared" si="175"/>
        <v>40235</v>
      </c>
      <c r="J5306" s="1" t="str">
        <f>"00739129"</f>
        <v>00739129</v>
      </c>
      <c r="K5306" s="1" t="str">
        <f>"１９９７　　　　　　　　　　　　　　　　"</f>
        <v>１９９７　　　　　　　　　　　　　　　　</v>
      </c>
      <c r="L5306" s="1"/>
    </row>
    <row r="5307" spans="1:12" ht="18" customHeight="1" x14ac:dyDescent="0.15">
      <c r="A5307" s="1">
        <v>1372</v>
      </c>
      <c r="B5307" s="1" t="s">
        <v>28</v>
      </c>
      <c r="C5307" s="1" t="s">
        <v>151</v>
      </c>
      <c r="D5307" s="1">
        <v>1</v>
      </c>
      <c r="E5307" s="1" t="s">
        <v>4</v>
      </c>
      <c r="F5307" s="2">
        <v>20700</v>
      </c>
      <c r="G5307" s="2" t="s">
        <v>667</v>
      </c>
      <c r="H5307" s="1" t="str">
        <f t="shared" si="176"/>
        <v>平成22年2月26日</v>
      </c>
      <c r="I5307" s="22">
        <f t="shared" si="175"/>
        <v>40235</v>
      </c>
      <c r="J5307" s="1" t="str">
        <f>"00739131"</f>
        <v>00739131</v>
      </c>
      <c r="K5307" s="1" t="str">
        <f>"１９９８　　　　　　　　　　　　　　　　"</f>
        <v>１９９８　　　　　　　　　　　　　　　　</v>
      </c>
      <c r="L5307" s="1"/>
    </row>
    <row r="5308" spans="1:12" ht="18" customHeight="1" x14ac:dyDescent="0.15">
      <c r="A5308" s="1">
        <v>1373</v>
      </c>
      <c r="B5308" s="1" t="s">
        <v>28</v>
      </c>
      <c r="C5308" s="1" t="s">
        <v>151</v>
      </c>
      <c r="D5308" s="1">
        <v>1</v>
      </c>
      <c r="E5308" s="1" t="s">
        <v>4</v>
      </c>
      <c r="F5308" s="2">
        <v>20700</v>
      </c>
      <c r="G5308" s="2" t="s">
        <v>667</v>
      </c>
      <c r="H5308" s="1" t="str">
        <f t="shared" si="176"/>
        <v>平成22年2月26日</v>
      </c>
      <c r="I5308" s="22">
        <f t="shared" si="175"/>
        <v>40235</v>
      </c>
      <c r="J5308" s="1" t="str">
        <f>"00739133"</f>
        <v>00739133</v>
      </c>
      <c r="K5308" s="1" t="str">
        <f>"１９９９　　　　　　　　　　　　　　　　"</f>
        <v>１９９９　　　　　　　　　　　　　　　　</v>
      </c>
      <c r="L5308" s="1"/>
    </row>
    <row r="5309" spans="1:12" ht="18" customHeight="1" x14ac:dyDescent="0.15">
      <c r="A5309" s="1">
        <v>1374</v>
      </c>
      <c r="B5309" s="1" t="s">
        <v>28</v>
      </c>
      <c r="C5309" s="1" t="s">
        <v>151</v>
      </c>
      <c r="D5309" s="1">
        <v>1</v>
      </c>
      <c r="E5309" s="1" t="s">
        <v>4</v>
      </c>
      <c r="F5309" s="2">
        <v>20700</v>
      </c>
      <c r="G5309" s="2" t="s">
        <v>667</v>
      </c>
      <c r="H5309" s="1" t="str">
        <f t="shared" si="176"/>
        <v>平成22年2月26日</v>
      </c>
      <c r="I5309" s="22">
        <f t="shared" si="175"/>
        <v>40235</v>
      </c>
      <c r="J5309" s="1" t="str">
        <f>"00739135"</f>
        <v>00739135</v>
      </c>
      <c r="K5309" s="1" t="str">
        <f>"２０００　　　　　　　　　　　　　　　　"</f>
        <v>２０００　　　　　　　　　　　　　　　　</v>
      </c>
      <c r="L5309" s="1"/>
    </row>
    <row r="5310" spans="1:12" ht="18" customHeight="1" x14ac:dyDescent="0.15">
      <c r="A5310" s="1">
        <v>1375</v>
      </c>
      <c r="B5310" s="1" t="s">
        <v>28</v>
      </c>
      <c r="C5310" s="1" t="s">
        <v>151</v>
      </c>
      <c r="D5310" s="1">
        <v>1</v>
      </c>
      <c r="E5310" s="1" t="s">
        <v>4</v>
      </c>
      <c r="F5310" s="2">
        <v>20700</v>
      </c>
      <c r="G5310" s="2" t="s">
        <v>667</v>
      </c>
      <c r="H5310" s="1" t="str">
        <f t="shared" si="176"/>
        <v>平成22年2月26日</v>
      </c>
      <c r="I5310" s="22">
        <f t="shared" si="175"/>
        <v>40235</v>
      </c>
      <c r="J5310" s="1" t="str">
        <f>"00739137"</f>
        <v>00739137</v>
      </c>
      <c r="K5310" s="1" t="str">
        <f>"２００１　　　　　　　　　　　　　　　　"</f>
        <v>２００１　　　　　　　　　　　　　　　　</v>
      </c>
      <c r="L5310" s="1"/>
    </row>
    <row r="5311" spans="1:12" ht="18" customHeight="1" x14ac:dyDescent="0.15">
      <c r="A5311" s="1">
        <v>1376</v>
      </c>
      <c r="B5311" s="1" t="s">
        <v>28</v>
      </c>
      <c r="C5311" s="1" t="s">
        <v>151</v>
      </c>
      <c r="D5311" s="1">
        <v>1</v>
      </c>
      <c r="E5311" s="1" t="s">
        <v>4</v>
      </c>
      <c r="F5311" s="2">
        <v>20700</v>
      </c>
      <c r="G5311" s="2" t="s">
        <v>667</v>
      </c>
      <c r="H5311" s="1" t="str">
        <f t="shared" si="176"/>
        <v>平成22年2月26日</v>
      </c>
      <c r="I5311" s="22">
        <f t="shared" si="175"/>
        <v>40235</v>
      </c>
      <c r="J5311" s="1" t="str">
        <f>"00739139"</f>
        <v>00739139</v>
      </c>
      <c r="K5311" s="1" t="str">
        <f>"２００２　　　　　　　　　　　　　　　　"</f>
        <v>２００２　　　　　　　　　　　　　　　　</v>
      </c>
      <c r="L5311" s="1"/>
    </row>
    <row r="5312" spans="1:12" ht="18" customHeight="1" x14ac:dyDescent="0.15">
      <c r="A5312" s="1">
        <v>1377</v>
      </c>
      <c r="B5312" s="1" t="s">
        <v>28</v>
      </c>
      <c r="C5312" s="1" t="s">
        <v>151</v>
      </c>
      <c r="D5312" s="1">
        <v>1</v>
      </c>
      <c r="E5312" s="1" t="s">
        <v>4</v>
      </c>
      <c r="F5312" s="2">
        <v>20700</v>
      </c>
      <c r="G5312" s="2" t="s">
        <v>667</v>
      </c>
      <c r="H5312" s="1" t="str">
        <f t="shared" si="176"/>
        <v>平成22年2月26日</v>
      </c>
      <c r="I5312" s="22">
        <f t="shared" si="175"/>
        <v>40235</v>
      </c>
      <c r="J5312" s="1" t="str">
        <f>"00739141"</f>
        <v>00739141</v>
      </c>
      <c r="K5312" s="1" t="str">
        <f>"２００３　　　　　　　　　　　　　　　　"</f>
        <v>２００３　　　　　　　　　　　　　　　　</v>
      </c>
      <c r="L5312" s="1"/>
    </row>
    <row r="5313" spans="1:12" ht="18" customHeight="1" x14ac:dyDescent="0.15">
      <c r="A5313" s="1">
        <v>1378</v>
      </c>
      <c r="B5313" s="1" t="s">
        <v>28</v>
      </c>
      <c r="C5313" s="1" t="s">
        <v>151</v>
      </c>
      <c r="D5313" s="1">
        <v>1</v>
      </c>
      <c r="E5313" s="1" t="s">
        <v>4</v>
      </c>
      <c r="F5313" s="2">
        <v>20700</v>
      </c>
      <c r="G5313" s="2" t="s">
        <v>667</v>
      </c>
      <c r="H5313" s="1" t="str">
        <f t="shared" si="176"/>
        <v>平成22年2月26日</v>
      </c>
      <c r="I5313" s="22">
        <f t="shared" si="175"/>
        <v>40235</v>
      </c>
      <c r="J5313" s="1" t="str">
        <f>"00739143"</f>
        <v>00739143</v>
      </c>
      <c r="K5313" s="1" t="str">
        <f>"２００４　　　　　　　　　　　　　　　　"</f>
        <v>２００４　　　　　　　　　　　　　　　　</v>
      </c>
      <c r="L5313" s="1"/>
    </row>
    <row r="5314" spans="1:12" ht="18" customHeight="1" x14ac:dyDescent="0.15">
      <c r="A5314" s="1">
        <v>1379</v>
      </c>
      <c r="B5314" s="1" t="s">
        <v>28</v>
      </c>
      <c r="C5314" s="1" t="s">
        <v>151</v>
      </c>
      <c r="D5314" s="1">
        <v>1</v>
      </c>
      <c r="E5314" s="1" t="s">
        <v>4</v>
      </c>
      <c r="F5314" s="2">
        <v>20700</v>
      </c>
      <c r="G5314" s="2" t="s">
        <v>667</v>
      </c>
      <c r="H5314" s="1" t="str">
        <f t="shared" si="176"/>
        <v>平成22年2月26日</v>
      </c>
      <c r="I5314" s="22">
        <f t="shared" si="175"/>
        <v>40235</v>
      </c>
      <c r="J5314" s="1" t="str">
        <f>"00739145"</f>
        <v>00739145</v>
      </c>
      <c r="K5314" s="1" t="str">
        <f>"２００５　　　　　　　　　　　　　　　　"</f>
        <v>２００５　　　　　　　　　　　　　　　　</v>
      </c>
      <c r="L5314" s="1"/>
    </row>
    <row r="5315" spans="1:12" ht="18" customHeight="1" x14ac:dyDescent="0.15">
      <c r="A5315" s="1">
        <v>1380</v>
      </c>
      <c r="B5315" s="1" t="s">
        <v>28</v>
      </c>
      <c r="C5315" s="1" t="s">
        <v>151</v>
      </c>
      <c r="D5315" s="1">
        <v>1</v>
      </c>
      <c r="E5315" s="1" t="s">
        <v>4</v>
      </c>
      <c r="F5315" s="2">
        <v>20700</v>
      </c>
      <c r="G5315" s="2" t="s">
        <v>667</v>
      </c>
      <c r="H5315" s="1" t="str">
        <f t="shared" si="176"/>
        <v>平成22年2月26日</v>
      </c>
      <c r="I5315" s="22">
        <f t="shared" si="175"/>
        <v>40235</v>
      </c>
      <c r="J5315" s="1" t="str">
        <f>"00739147"</f>
        <v>00739147</v>
      </c>
      <c r="K5315" s="1" t="str">
        <f>"２００６　　　　　　　　　　　　　　　　"</f>
        <v>２００６　　　　　　　　　　　　　　　　</v>
      </c>
      <c r="L5315" s="1"/>
    </row>
    <row r="5316" spans="1:12" ht="18" customHeight="1" x14ac:dyDescent="0.15">
      <c r="A5316" s="1">
        <v>1381</v>
      </c>
      <c r="B5316" s="1" t="s">
        <v>28</v>
      </c>
      <c r="C5316" s="1" t="s">
        <v>151</v>
      </c>
      <c r="D5316" s="1">
        <v>1</v>
      </c>
      <c r="E5316" s="1" t="s">
        <v>4</v>
      </c>
      <c r="F5316" s="2">
        <v>20700</v>
      </c>
      <c r="G5316" s="2" t="s">
        <v>667</v>
      </c>
      <c r="H5316" s="1" t="str">
        <f t="shared" si="176"/>
        <v>平成22年2月26日</v>
      </c>
      <c r="I5316" s="22">
        <f t="shared" si="175"/>
        <v>40235</v>
      </c>
      <c r="J5316" s="1" t="str">
        <f>"00739149"</f>
        <v>00739149</v>
      </c>
      <c r="K5316" s="1" t="str">
        <f>"２００７　　　　　　　　　　　　　　　　"</f>
        <v>２００７　　　　　　　　　　　　　　　　</v>
      </c>
      <c r="L5316" s="1"/>
    </row>
    <row r="5317" spans="1:12" ht="18" customHeight="1" x14ac:dyDescent="0.15">
      <c r="A5317" s="1">
        <v>1382</v>
      </c>
      <c r="B5317" s="1" t="s">
        <v>28</v>
      </c>
      <c r="C5317" s="1" t="s">
        <v>151</v>
      </c>
      <c r="D5317" s="1">
        <v>1</v>
      </c>
      <c r="E5317" s="1" t="s">
        <v>4</v>
      </c>
      <c r="F5317" s="2">
        <v>20700</v>
      </c>
      <c r="G5317" s="2" t="s">
        <v>667</v>
      </c>
      <c r="H5317" s="1" t="str">
        <f t="shared" si="176"/>
        <v>平成22年2月26日</v>
      </c>
      <c r="I5317" s="22">
        <f t="shared" si="175"/>
        <v>40235</v>
      </c>
      <c r="J5317" s="1" t="str">
        <f>"00739151"</f>
        <v>00739151</v>
      </c>
      <c r="K5317" s="1" t="str">
        <f>"２００８　　　　　　　　　　　　　　　　"</f>
        <v>２００８　　　　　　　　　　　　　　　　</v>
      </c>
      <c r="L5317" s="1"/>
    </row>
    <row r="5318" spans="1:12" ht="18" customHeight="1" x14ac:dyDescent="0.15">
      <c r="A5318" s="1">
        <v>1383</v>
      </c>
      <c r="B5318" s="1" t="s">
        <v>28</v>
      </c>
      <c r="C5318" s="1" t="s">
        <v>151</v>
      </c>
      <c r="D5318" s="1">
        <v>1</v>
      </c>
      <c r="E5318" s="1" t="s">
        <v>4</v>
      </c>
      <c r="F5318" s="2">
        <v>20700</v>
      </c>
      <c r="G5318" s="2" t="s">
        <v>667</v>
      </c>
      <c r="H5318" s="1" t="str">
        <f t="shared" si="176"/>
        <v>平成22年2月26日</v>
      </c>
      <c r="I5318" s="22">
        <f t="shared" si="175"/>
        <v>40235</v>
      </c>
      <c r="J5318" s="1" t="str">
        <f>"00739153"</f>
        <v>00739153</v>
      </c>
      <c r="K5318" s="1" t="str">
        <f>"２００９　　　　　　　　　　　　　　　　"</f>
        <v>２００９　　　　　　　　　　　　　　　　</v>
      </c>
      <c r="L5318" s="1"/>
    </row>
    <row r="5319" spans="1:12" ht="18" customHeight="1" x14ac:dyDescent="0.15">
      <c r="A5319" s="1">
        <v>1384</v>
      </c>
      <c r="B5319" s="1" t="s">
        <v>28</v>
      </c>
      <c r="C5319" s="1" t="s">
        <v>151</v>
      </c>
      <c r="D5319" s="1">
        <v>1</v>
      </c>
      <c r="E5319" s="1" t="s">
        <v>4</v>
      </c>
      <c r="F5319" s="2">
        <v>20700</v>
      </c>
      <c r="G5319" s="2" t="s">
        <v>667</v>
      </c>
      <c r="H5319" s="1" t="str">
        <f t="shared" si="176"/>
        <v>平成22年2月26日</v>
      </c>
      <c r="I5319" s="22">
        <f t="shared" si="175"/>
        <v>40235</v>
      </c>
      <c r="J5319" s="1" t="str">
        <f>"00739155"</f>
        <v>00739155</v>
      </c>
      <c r="K5319" s="1" t="str">
        <f>"２０１０　　　　　　　　　　　　　　　　"</f>
        <v>２０１０　　　　　　　　　　　　　　　　</v>
      </c>
      <c r="L5319" s="1"/>
    </row>
    <row r="5320" spans="1:12" ht="18" customHeight="1" x14ac:dyDescent="0.15">
      <c r="A5320" s="1">
        <v>1385</v>
      </c>
      <c r="B5320" s="1" t="s">
        <v>28</v>
      </c>
      <c r="C5320" s="1" t="s">
        <v>151</v>
      </c>
      <c r="D5320" s="1">
        <v>1</v>
      </c>
      <c r="E5320" s="1" t="s">
        <v>4</v>
      </c>
      <c r="F5320" s="2">
        <v>20700</v>
      </c>
      <c r="G5320" s="2" t="s">
        <v>667</v>
      </c>
      <c r="H5320" s="1" t="str">
        <f t="shared" si="176"/>
        <v>平成22年2月26日</v>
      </c>
      <c r="I5320" s="22">
        <f t="shared" si="175"/>
        <v>40235</v>
      </c>
      <c r="J5320" s="1" t="str">
        <f>"00739157"</f>
        <v>00739157</v>
      </c>
      <c r="K5320" s="1" t="str">
        <f>"２０１１　　　　　　　　　　　　　　　　"</f>
        <v>２０１１　　　　　　　　　　　　　　　　</v>
      </c>
      <c r="L5320" s="1"/>
    </row>
    <row r="5321" spans="1:12" ht="18" customHeight="1" x14ac:dyDescent="0.15">
      <c r="A5321" s="1">
        <v>1386</v>
      </c>
      <c r="B5321" s="1" t="s">
        <v>28</v>
      </c>
      <c r="C5321" s="1" t="s">
        <v>151</v>
      </c>
      <c r="D5321" s="1">
        <v>1</v>
      </c>
      <c r="E5321" s="1" t="s">
        <v>4</v>
      </c>
      <c r="F5321" s="2">
        <v>20700</v>
      </c>
      <c r="G5321" s="2" t="s">
        <v>667</v>
      </c>
      <c r="H5321" s="1" t="str">
        <f t="shared" si="176"/>
        <v>平成22年2月26日</v>
      </c>
      <c r="I5321" s="22">
        <f t="shared" si="175"/>
        <v>40235</v>
      </c>
      <c r="J5321" s="1" t="str">
        <f>"00739159"</f>
        <v>00739159</v>
      </c>
      <c r="K5321" s="1" t="str">
        <f>"２０１２　　　　　　　　　　　　　　　　"</f>
        <v>２０１２　　　　　　　　　　　　　　　　</v>
      </c>
      <c r="L5321" s="1"/>
    </row>
    <row r="5322" spans="1:12" ht="18" customHeight="1" x14ac:dyDescent="0.15">
      <c r="A5322" s="1">
        <v>1387</v>
      </c>
      <c r="B5322" s="1" t="s">
        <v>28</v>
      </c>
      <c r="C5322" s="1" t="s">
        <v>151</v>
      </c>
      <c r="D5322" s="1">
        <v>1</v>
      </c>
      <c r="E5322" s="1" t="s">
        <v>4</v>
      </c>
      <c r="F5322" s="2">
        <v>20700</v>
      </c>
      <c r="G5322" s="2" t="s">
        <v>667</v>
      </c>
      <c r="H5322" s="1" t="str">
        <f t="shared" si="176"/>
        <v>平成22年2月26日</v>
      </c>
      <c r="I5322" s="22">
        <f t="shared" si="175"/>
        <v>40235</v>
      </c>
      <c r="J5322" s="1" t="str">
        <f>"00739161"</f>
        <v>00739161</v>
      </c>
      <c r="K5322" s="1" t="str">
        <f>"２０１３　　　　　　　　　　　　　　　　"</f>
        <v>２０１３　　　　　　　　　　　　　　　　</v>
      </c>
      <c r="L5322" s="1"/>
    </row>
    <row r="5323" spans="1:12" ht="18" customHeight="1" x14ac:dyDescent="0.15">
      <c r="A5323" s="1">
        <v>1388</v>
      </c>
      <c r="B5323" s="1" t="s">
        <v>28</v>
      </c>
      <c r="C5323" s="1" t="s">
        <v>151</v>
      </c>
      <c r="D5323" s="1">
        <v>1</v>
      </c>
      <c r="E5323" s="1" t="s">
        <v>4</v>
      </c>
      <c r="F5323" s="2">
        <v>20700</v>
      </c>
      <c r="G5323" s="2" t="s">
        <v>667</v>
      </c>
      <c r="H5323" s="1" t="str">
        <f t="shared" si="176"/>
        <v>平成22年2月26日</v>
      </c>
      <c r="I5323" s="22">
        <f t="shared" si="175"/>
        <v>40235</v>
      </c>
      <c r="J5323" s="1" t="str">
        <f>"00739163"</f>
        <v>00739163</v>
      </c>
      <c r="K5323" s="1" t="str">
        <f>"２０１４　　　　　　　　　　　　　　　　"</f>
        <v>２０１４　　　　　　　　　　　　　　　　</v>
      </c>
      <c r="L5323" s="1"/>
    </row>
    <row r="5324" spans="1:12" ht="18" customHeight="1" x14ac:dyDescent="0.15">
      <c r="A5324" s="1">
        <v>1389</v>
      </c>
      <c r="B5324" s="1" t="s">
        <v>28</v>
      </c>
      <c r="C5324" s="1" t="s">
        <v>151</v>
      </c>
      <c r="D5324" s="1">
        <v>1</v>
      </c>
      <c r="E5324" s="1" t="s">
        <v>4</v>
      </c>
      <c r="F5324" s="2">
        <v>20700</v>
      </c>
      <c r="G5324" s="2" t="s">
        <v>667</v>
      </c>
      <c r="H5324" s="1" t="str">
        <f t="shared" si="176"/>
        <v>平成22年2月26日</v>
      </c>
      <c r="I5324" s="22">
        <f t="shared" si="175"/>
        <v>40235</v>
      </c>
      <c r="J5324" s="1" t="str">
        <f>"00739165"</f>
        <v>00739165</v>
      </c>
      <c r="K5324" s="1" t="str">
        <f>"２０１５　　　　　　　　　　　　　　　　"</f>
        <v>２０１５　　　　　　　　　　　　　　　　</v>
      </c>
      <c r="L5324" s="1"/>
    </row>
    <row r="5325" spans="1:12" ht="18" customHeight="1" x14ac:dyDescent="0.15">
      <c r="A5325" s="1">
        <v>1390</v>
      </c>
      <c r="B5325" s="1" t="s">
        <v>28</v>
      </c>
      <c r="C5325" s="1" t="s">
        <v>151</v>
      </c>
      <c r="D5325" s="1">
        <v>1</v>
      </c>
      <c r="E5325" s="1" t="s">
        <v>4</v>
      </c>
      <c r="F5325" s="2">
        <v>20700</v>
      </c>
      <c r="G5325" s="2" t="s">
        <v>667</v>
      </c>
      <c r="H5325" s="1" t="str">
        <f t="shared" si="176"/>
        <v>平成22年2月26日</v>
      </c>
      <c r="I5325" s="22">
        <f t="shared" si="175"/>
        <v>40235</v>
      </c>
      <c r="J5325" s="1" t="str">
        <f>"00739167"</f>
        <v>00739167</v>
      </c>
      <c r="K5325" s="1" t="str">
        <f>"２０１６　　　　　　　　　　　　　　　　"</f>
        <v>２０１６　　　　　　　　　　　　　　　　</v>
      </c>
      <c r="L5325" s="1"/>
    </row>
    <row r="5326" spans="1:12" ht="18" customHeight="1" x14ac:dyDescent="0.15">
      <c r="A5326" s="1">
        <v>1391</v>
      </c>
      <c r="B5326" s="1" t="s">
        <v>28</v>
      </c>
      <c r="C5326" s="1" t="s">
        <v>151</v>
      </c>
      <c r="D5326" s="1">
        <v>1</v>
      </c>
      <c r="E5326" s="1" t="s">
        <v>4</v>
      </c>
      <c r="F5326" s="2">
        <v>20700</v>
      </c>
      <c r="G5326" s="2" t="s">
        <v>667</v>
      </c>
      <c r="H5326" s="1" t="str">
        <f t="shared" si="176"/>
        <v>平成22年2月26日</v>
      </c>
      <c r="I5326" s="22">
        <f t="shared" si="175"/>
        <v>40235</v>
      </c>
      <c r="J5326" s="1" t="str">
        <f>"00739169"</f>
        <v>00739169</v>
      </c>
      <c r="K5326" s="1" t="str">
        <f>"２０１７　　　　　　　　　　　　　　　　"</f>
        <v>２０１７　　　　　　　　　　　　　　　　</v>
      </c>
      <c r="L5326" s="1"/>
    </row>
    <row r="5327" spans="1:12" ht="18" customHeight="1" x14ac:dyDescent="0.15">
      <c r="A5327" s="1">
        <v>1392</v>
      </c>
      <c r="B5327" s="1" t="s">
        <v>28</v>
      </c>
      <c r="C5327" s="1" t="s">
        <v>151</v>
      </c>
      <c r="D5327" s="1">
        <v>1</v>
      </c>
      <c r="E5327" s="1" t="s">
        <v>4</v>
      </c>
      <c r="F5327" s="2">
        <v>20700</v>
      </c>
      <c r="G5327" s="2" t="s">
        <v>667</v>
      </c>
      <c r="H5327" s="1" t="str">
        <f t="shared" si="176"/>
        <v>平成22年2月26日</v>
      </c>
      <c r="I5327" s="22">
        <f t="shared" si="175"/>
        <v>40235</v>
      </c>
      <c r="J5327" s="1" t="str">
        <f>"00739171"</f>
        <v>00739171</v>
      </c>
      <c r="K5327" s="1" t="str">
        <f>"２０１８　　　　　　　　　　　　　　　　"</f>
        <v>２０１８　　　　　　　　　　　　　　　　</v>
      </c>
      <c r="L5327" s="1"/>
    </row>
    <row r="5328" spans="1:12" ht="18" customHeight="1" x14ac:dyDescent="0.15">
      <c r="A5328" s="1">
        <v>1393</v>
      </c>
      <c r="B5328" s="1" t="s">
        <v>28</v>
      </c>
      <c r="C5328" s="1" t="s">
        <v>151</v>
      </c>
      <c r="D5328" s="1">
        <v>1</v>
      </c>
      <c r="E5328" s="1" t="s">
        <v>4</v>
      </c>
      <c r="F5328" s="2">
        <v>20700</v>
      </c>
      <c r="G5328" s="2" t="s">
        <v>667</v>
      </c>
      <c r="H5328" s="1" t="str">
        <f t="shared" si="176"/>
        <v>平成22年2月26日</v>
      </c>
      <c r="I5328" s="22">
        <f t="shared" si="175"/>
        <v>40235</v>
      </c>
      <c r="J5328" s="1" t="str">
        <f>"00739173"</f>
        <v>00739173</v>
      </c>
      <c r="K5328" s="1" t="str">
        <f>"２０１９　　　　　　　　　　　　　　　　"</f>
        <v>２０１９　　　　　　　　　　　　　　　　</v>
      </c>
      <c r="L5328" s="1"/>
    </row>
    <row r="5329" spans="1:12" ht="18" customHeight="1" x14ac:dyDescent="0.15">
      <c r="A5329" s="1">
        <v>1394</v>
      </c>
      <c r="B5329" s="1" t="s">
        <v>28</v>
      </c>
      <c r="C5329" s="1" t="s">
        <v>151</v>
      </c>
      <c r="D5329" s="1">
        <v>1</v>
      </c>
      <c r="E5329" s="1" t="s">
        <v>4</v>
      </c>
      <c r="F5329" s="2">
        <v>20700</v>
      </c>
      <c r="G5329" s="2" t="s">
        <v>667</v>
      </c>
      <c r="H5329" s="1" t="str">
        <f t="shared" si="176"/>
        <v>平成22年2月26日</v>
      </c>
      <c r="I5329" s="22">
        <f t="shared" si="175"/>
        <v>40235</v>
      </c>
      <c r="J5329" s="1" t="str">
        <f>"00739175"</f>
        <v>00739175</v>
      </c>
      <c r="K5329" s="1" t="str">
        <f>"２０２０　　　　　　　　　　　　　　　　"</f>
        <v>２０２０　　　　　　　　　　　　　　　　</v>
      </c>
      <c r="L5329" s="1"/>
    </row>
    <row r="5330" spans="1:12" ht="18" customHeight="1" x14ac:dyDescent="0.15">
      <c r="A5330" s="1">
        <v>1395</v>
      </c>
      <c r="B5330" s="1" t="s">
        <v>28</v>
      </c>
      <c r="C5330" s="1" t="s">
        <v>151</v>
      </c>
      <c r="D5330" s="1">
        <v>1</v>
      </c>
      <c r="E5330" s="1" t="s">
        <v>4</v>
      </c>
      <c r="F5330" s="2">
        <v>20700</v>
      </c>
      <c r="G5330" s="2" t="s">
        <v>667</v>
      </c>
      <c r="H5330" s="1" t="str">
        <f t="shared" si="176"/>
        <v>平成22年2月26日</v>
      </c>
      <c r="I5330" s="22">
        <f t="shared" si="175"/>
        <v>40235</v>
      </c>
      <c r="J5330" s="1" t="str">
        <f>"00739177"</f>
        <v>00739177</v>
      </c>
      <c r="K5330" s="1" t="str">
        <f>"２０２１　　　　　　　　　　　　　　　　"</f>
        <v>２０２１　　　　　　　　　　　　　　　　</v>
      </c>
      <c r="L5330" s="1"/>
    </row>
    <row r="5331" spans="1:12" ht="18" customHeight="1" x14ac:dyDescent="0.15">
      <c r="A5331" s="1">
        <v>1396</v>
      </c>
      <c r="B5331" s="1" t="s">
        <v>28</v>
      </c>
      <c r="C5331" s="1" t="s">
        <v>151</v>
      </c>
      <c r="D5331" s="1">
        <v>1</v>
      </c>
      <c r="E5331" s="1" t="s">
        <v>4</v>
      </c>
      <c r="F5331" s="2">
        <v>20700</v>
      </c>
      <c r="G5331" s="2" t="s">
        <v>667</v>
      </c>
      <c r="H5331" s="1" t="str">
        <f t="shared" si="176"/>
        <v>平成22年2月26日</v>
      </c>
      <c r="I5331" s="22">
        <f t="shared" si="175"/>
        <v>40235</v>
      </c>
      <c r="J5331" s="1" t="str">
        <f>"00739179"</f>
        <v>00739179</v>
      </c>
      <c r="K5331" s="1" t="str">
        <f>"２０２２　　　　　　　　　　　　　　　　"</f>
        <v>２０２２　　　　　　　　　　　　　　　　</v>
      </c>
      <c r="L5331" s="1"/>
    </row>
    <row r="5332" spans="1:12" ht="18" customHeight="1" x14ac:dyDescent="0.15">
      <c r="A5332" s="1">
        <v>1397</v>
      </c>
      <c r="B5332" s="1" t="s">
        <v>28</v>
      </c>
      <c r="C5332" s="1" t="s">
        <v>151</v>
      </c>
      <c r="D5332" s="1">
        <v>1</v>
      </c>
      <c r="E5332" s="1" t="s">
        <v>4</v>
      </c>
      <c r="F5332" s="2">
        <v>20700</v>
      </c>
      <c r="G5332" s="2" t="s">
        <v>667</v>
      </c>
      <c r="H5332" s="1" t="str">
        <f t="shared" si="176"/>
        <v>平成22年2月26日</v>
      </c>
      <c r="I5332" s="22">
        <f t="shared" si="175"/>
        <v>40235</v>
      </c>
      <c r="J5332" s="1" t="str">
        <f>"00739181"</f>
        <v>00739181</v>
      </c>
      <c r="K5332" s="1" t="str">
        <f>"２０２３　　　　　　　　　　　　　　　　"</f>
        <v>２０２３　　　　　　　　　　　　　　　　</v>
      </c>
      <c r="L5332" s="1"/>
    </row>
    <row r="5333" spans="1:12" ht="18" customHeight="1" x14ac:dyDescent="0.15">
      <c r="A5333" s="1">
        <v>1398</v>
      </c>
      <c r="B5333" s="1" t="s">
        <v>28</v>
      </c>
      <c r="C5333" s="1" t="s">
        <v>151</v>
      </c>
      <c r="D5333" s="1">
        <v>1</v>
      </c>
      <c r="E5333" s="1" t="s">
        <v>4</v>
      </c>
      <c r="F5333" s="2">
        <v>20700</v>
      </c>
      <c r="G5333" s="2" t="s">
        <v>667</v>
      </c>
      <c r="H5333" s="1" t="str">
        <f t="shared" si="176"/>
        <v>平成22年2月26日</v>
      </c>
      <c r="I5333" s="22">
        <f t="shared" si="175"/>
        <v>40235</v>
      </c>
      <c r="J5333" s="1" t="str">
        <f>"00739183"</f>
        <v>00739183</v>
      </c>
      <c r="K5333" s="1" t="str">
        <f>"２０２４　　　　　　　　　　　　　　　　"</f>
        <v>２０２４　　　　　　　　　　　　　　　　</v>
      </c>
      <c r="L5333" s="1"/>
    </row>
    <row r="5334" spans="1:12" ht="18" customHeight="1" x14ac:dyDescent="0.15">
      <c r="A5334" s="1">
        <v>1399</v>
      </c>
      <c r="B5334" s="1" t="s">
        <v>28</v>
      </c>
      <c r="C5334" s="1" t="s">
        <v>151</v>
      </c>
      <c r="D5334" s="1">
        <v>1</v>
      </c>
      <c r="E5334" s="1" t="s">
        <v>4</v>
      </c>
      <c r="F5334" s="2">
        <v>20700</v>
      </c>
      <c r="G5334" s="2" t="s">
        <v>667</v>
      </c>
      <c r="H5334" s="1" t="str">
        <f t="shared" si="176"/>
        <v>平成22年2月26日</v>
      </c>
      <c r="I5334" s="22">
        <f t="shared" si="175"/>
        <v>40235</v>
      </c>
      <c r="J5334" s="1" t="str">
        <f>"00739185"</f>
        <v>00739185</v>
      </c>
      <c r="K5334" s="1" t="str">
        <f>"２０２５　　　　　　　　　　　　　　　　"</f>
        <v>２０２５　　　　　　　　　　　　　　　　</v>
      </c>
      <c r="L5334" s="1"/>
    </row>
    <row r="5335" spans="1:12" ht="18" customHeight="1" x14ac:dyDescent="0.15">
      <c r="A5335" s="1">
        <v>1400</v>
      </c>
      <c r="B5335" s="1" t="s">
        <v>28</v>
      </c>
      <c r="C5335" s="1" t="s">
        <v>151</v>
      </c>
      <c r="D5335" s="1">
        <v>1</v>
      </c>
      <c r="E5335" s="1" t="s">
        <v>4</v>
      </c>
      <c r="F5335" s="2">
        <v>20700</v>
      </c>
      <c r="G5335" s="2" t="s">
        <v>667</v>
      </c>
      <c r="H5335" s="1" t="str">
        <f t="shared" si="176"/>
        <v>平成22年2月26日</v>
      </c>
      <c r="I5335" s="22">
        <f t="shared" si="175"/>
        <v>40235</v>
      </c>
      <c r="J5335" s="1" t="str">
        <f>"00739187"</f>
        <v>00739187</v>
      </c>
      <c r="K5335" s="1" t="str">
        <f>"２０２６　　　　　　　　　　　　　　　　"</f>
        <v>２０２６　　　　　　　　　　　　　　　　</v>
      </c>
      <c r="L5335" s="1"/>
    </row>
    <row r="5336" spans="1:12" ht="18" customHeight="1" x14ac:dyDescent="0.15">
      <c r="A5336" s="1">
        <v>1401</v>
      </c>
      <c r="B5336" s="1" t="s">
        <v>28</v>
      </c>
      <c r="C5336" s="1" t="s">
        <v>151</v>
      </c>
      <c r="D5336" s="1">
        <v>1</v>
      </c>
      <c r="E5336" s="1" t="s">
        <v>4</v>
      </c>
      <c r="F5336" s="2">
        <v>20700</v>
      </c>
      <c r="G5336" s="2" t="s">
        <v>667</v>
      </c>
      <c r="H5336" s="1" t="str">
        <f t="shared" si="176"/>
        <v>平成22年2月26日</v>
      </c>
      <c r="I5336" s="22">
        <f t="shared" si="175"/>
        <v>40235</v>
      </c>
      <c r="J5336" s="1" t="str">
        <f>"00739189"</f>
        <v>00739189</v>
      </c>
      <c r="K5336" s="1" t="str">
        <f>"２０２７　　　　　　　　　　　　　　　　"</f>
        <v>２０２７　　　　　　　　　　　　　　　　</v>
      </c>
      <c r="L5336" s="1"/>
    </row>
    <row r="5337" spans="1:12" ht="18" customHeight="1" x14ac:dyDescent="0.15">
      <c r="A5337" s="1">
        <v>1402</v>
      </c>
      <c r="B5337" s="1" t="s">
        <v>28</v>
      </c>
      <c r="C5337" s="1" t="s">
        <v>151</v>
      </c>
      <c r="D5337" s="1">
        <v>1</v>
      </c>
      <c r="E5337" s="1" t="s">
        <v>4</v>
      </c>
      <c r="F5337" s="2">
        <v>20700</v>
      </c>
      <c r="G5337" s="2" t="s">
        <v>667</v>
      </c>
      <c r="H5337" s="1" t="str">
        <f t="shared" si="176"/>
        <v>平成22年2月26日</v>
      </c>
      <c r="I5337" s="22">
        <f t="shared" si="175"/>
        <v>40235</v>
      </c>
      <c r="J5337" s="1" t="str">
        <f>"00739191"</f>
        <v>00739191</v>
      </c>
      <c r="K5337" s="1" t="str">
        <f>"２０２８　　　　　　　　　　　　　　　　"</f>
        <v>２０２８　　　　　　　　　　　　　　　　</v>
      </c>
      <c r="L5337" s="1"/>
    </row>
    <row r="5338" spans="1:12" ht="18" customHeight="1" x14ac:dyDescent="0.15">
      <c r="A5338" s="1">
        <v>1403</v>
      </c>
      <c r="B5338" s="1" t="s">
        <v>28</v>
      </c>
      <c r="C5338" s="1" t="s">
        <v>151</v>
      </c>
      <c r="D5338" s="1">
        <v>1</v>
      </c>
      <c r="E5338" s="1" t="s">
        <v>4</v>
      </c>
      <c r="F5338" s="2">
        <v>20700</v>
      </c>
      <c r="G5338" s="2" t="s">
        <v>667</v>
      </c>
      <c r="H5338" s="1" t="str">
        <f t="shared" si="176"/>
        <v>平成22年2月26日</v>
      </c>
      <c r="I5338" s="22">
        <f t="shared" ref="I5338:I5401" si="177">DATEVALUE(H5338)</f>
        <v>40235</v>
      </c>
      <c r="J5338" s="1" t="str">
        <f>"00739193"</f>
        <v>00739193</v>
      </c>
      <c r="K5338" s="1" t="str">
        <f>"２０２９　　　　　　　　　　　　　　　　"</f>
        <v>２０２９　　　　　　　　　　　　　　　　</v>
      </c>
      <c r="L5338" s="1"/>
    </row>
    <row r="5339" spans="1:12" ht="18" customHeight="1" x14ac:dyDescent="0.15">
      <c r="A5339" s="1">
        <v>1404</v>
      </c>
      <c r="B5339" s="1" t="s">
        <v>28</v>
      </c>
      <c r="C5339" s="1" t="s">
        <v>151</v>
      </c>
      <c r="D5339" s="1">
        <v>1</v>
      </c>
      <c r="E5339" s="1" t="s">
        <v>4</v>
      </c>
      <c r="F5339" s="2">
        <v>20700</v>
      </c>
      <c r="G5339" s="2" t="s">
        <v>667</v>
      </c>
      <c r="H5339" s="1" t="str">
        <f t="shared" si="176"/>
        <v>平成22年2月26日</v>
      </c>
      <c r="I5339" s="22">
        <f t="shared" si="177"/>
        <v>40235</v>
      </c>
      <c r="J5339" s="1" t="str">
        <f>"00739195"</f>
        <v>00739195</v>
      </c>
      <c r="K5339" s="1" t="str">
        <f>"２０３０　　　　　　　　　　　　　　　　"</f>
        <v>２０３０　　　　　　　　　　　　　　　　</v>
      </c>
      <c r="L5339" s="1"/>
    </row>
    <row r="5340" spans="1:12" ht="18" customHeight="1" x14ac:dyDescent="0.15">
      <c r="A5340" s="1">
        <v>1405</v>
      </c>
      <c r="B5340" s="1" t="s">
        <v>28</v>
      </c>
      <c r="C5340" s="1" t="s">
        <v>151</v>
      </c>
      <c r="D5340" s="1">
        <v>1</v>
      </c>
      <c r="E5340" s="1" t="s">
        <v>4</v>
      </c>
      <c r="F5340" s="2">
        <v>20700</v>
      </c>
      <c r="G5340" s="2" t="s">
        <v>667</v>
      </c>
      <c r="H5340" s="1" t="str">
        <f t="shared" si="176"/>
        <v>平成22年2月26日</v>
      </c>
      <c r="I5340" s="22">
        <f t="shared" si="177"/>
        <v>40235</v>
      </c>
      <c r="J5340" s="1" t="str">
        <f>"00739197"</f>
        <v>00739197</v>
      </c>
      <c r="K5340" s="1" t="str">
        <f>"２０３１　　　　　　　　　　　　　　　　"</f>
        <v>２０３１　　　　　　　　　　　　　　　　</v>
      </c>
      <c r="L5340" s="1"/>
    </row>
    <row r="5341" spans="1:12" ht="18" customHeight="1" x14ac:dyDescent="0.15">
      <c r="A5341" s="1">
        <v>1406</v>
      </c>
      <c r="B5341" s="1" t="s">
        <v>28</v>
      </c>
      <c r="C5341" s="1" t="s">
        <v>151</v>
      </c>
      <c r="D5341" s="1">
        <v>1</v>
      </c>
      <c r="E5341" s="1" t="s">
        <v>4</v>
      </c>
      <c r="F5341" s="2">
        <v>20700</v>
      </c>
      <c r="G5341" s="2" t="s">
        <v>667</v>
      </c>
      <c r="H5341" s="1" t="str">
        <f t="shared" si="176"/>
        <v>平成22年2月26日</v>
      </c>
      <c r="I5341" s="22">
        <f t="shared" si="177"/>
        <v>40235</v>
      </c>
      <c r="J5341" s="1" t="str">
        <f>"00739199"</f>
        <v>00739199</v>
      </c>
      <c r="K5341" s="1" t="str">
        <f>"２０３２　　　　　　　　　　　　　　　　"</f>
        <v>２０３２　　　　　　　　　　　　　　　　</v>
      </c>
      <c r="L5341" s="1"/>
    </row>
    <row r="5342" spans="1:12" ht="18" customHeight="1" x14ac:dyDescent="0.15">
      <c r="A5342" s="1">
        <v>1407</v>
      </c>
      <c r="B5342" s="1" t="s">
        <v>28</v>
      </c>
      <c r="C5342" s="1" t="s">
        <v>151</v>
      </c>
      <c r="D5342" s="1">
        <v>1</v>
      </c>
      <c r="E5342" s="1" t="s">
        <v>4</v>
      </c>
      <c r="F5342" s="2">
        <v>20700</v>
      </c>
      <c r="G5342" s="2" t="s">
        <v>667</v>
      </c>
      <c r="H5342" s="1" t="str">
        <f t="shared" si="176"/>
        <v>平成22年2月26日</v>
      </c>
      <c r="I5342" s="22">
        <f t="shared" si="177"/>
        <v>40235</v>
      </c>
      <c r="J5342" s="1" t="str">
        <f>"00739201"</f>
        <v>00739201</v>
      </c>
      <c r="K5342" s="1" t="str">
        <f>"２０３３　　　　　　　　　　　　　　　　"</f>
        <v>２０３３　　　　　　　　　　　　　　　　</v>
      </c>
      <c r="L5342" s="1"/>
    </row>
    <row r="5343" spans="1:12" ht="18" customHeight="1" x14ac:dyDescent="0.15">
      <c r="A5343" s="1">
        <v>1408</v>
      </c>
      <c r="B5343" s="1" t="s">
        <v>28</v>
      </c>
      <c r="C5343" s="1" t="s">
        <v>151</v>
      </c>
      <c r="D5343" s="1">
        <v>1</v>
      </c>
      <c r="E5343" s="1" t="s">
        <v>4</v>
      </c>
      <c r="F5343" s="2">
        <v>20700</v>
      </c>
      <c r="G5343" s="2" t="s">
        <v>667</v>
      </c>
      <c r="H5343" s="1" t="str">
        <f t="shared" si="176"/>
        <v>平成22年2月26日</v>
      </c>
      <c r="I5343" s="22">
        <f t="shared" si="177"/>
        <v>40235</v>
      </c>
      <c r="J5343" s="1" t="str">
        <f>"00739203"</f>
        <v>00739203</v>
      </c>
      <c r="K5343" s="1" t="str">
        <f>"２０３４　　　　　　　　　　　　　　　　"</f>
        <v>２０３４　　　　　　　　　　　　　　　　</v>
      </c>
      <c r="L5343" s="1"/>
    </row>
    <row r="5344" spans="1:12" ht="18" customHeight="1" x14ac:dyDescent="0.15">
      <c r="A5344" s="1">
        <v>1409</v>
      </c>
      <c r="B5344" s="1" t="s">
        <v>28</v>
      </c>
      <c r="C5344" s="1" t="s">
        <v>151</v>
      </c>
      <c r="D5344" s="1">
        <v>1</v>
      </c>
      <c r="E5344" s="1" t="s">
        <v>4</v>
      </c>
      <c r="F5344" s="2">
        <v>20700</v>
      </c>
      <c r="G5344" s="2" t="s">
        <v>667</v>
      </c>
      <c r="H5344" s="1" t="str">
        <f t="shared" si="176"/>
        <v>平成22年2月26日</v>
      </c>
      <c r="I5344" s="22">
        <f t="shared" si="177"/>
        <v>40235</v>
      </c>
      <c r="J5344" s="1" t="str">
        <f>"00739205"</f>
        <v>00739205</v>
      </c>
      <c r="K5344" s="1" t="str">
        <f>"２０３５　　　　　　　　　　　　　　　　"</f>
        <v>２０３５　　　　　　　　　　　　　　　　</v>
      </c>
      <c r="L5344" s="1"/>
    </row>
    <row r="5345" spans="1:12" ht="18" customHeight="1" x14ac:dyDescent="0.15">
      <c r="A5345" s="1">
        <v>1410</v>
      </c>
      <c r="B5345" s="1" t="s">
        <v>28</v>
      </c>
      <c r="C5345" s="1" t="s">
        <v>151</v>
      </c>
      <c r="D5345" s="1">
        <v>1</v>
      </c>
      <c r="E5345" s="1" t="s">
        <v>4</v>
      </c>
      <c r="F5345" s="2">
        <v>20700</v>
      </c>
      <c r="G5345" s="2" t="s">
        <v>667</v>
      </c>
      <c r="H5345" s="1" t="str">
        <f t="shared" si="176"/>
        <v>平成22年2月26日</v>
      </c>
      <c r="I5345" s="22">
        <f t="shared" si="177"/>
        <v>40235</v>
      </c>
      <c r="J5345" s="1" t="str">
        <f>"00739207"</f>
        <v>00739207</v>
      </c>
      <c r="K5345" s="1" t="str">
        <f>"２０３６　　　　　　　　　　　　　　　　"</f>
        <v>２０３６　　　　　　　　　　　　　　　　</v>
      </c>
      <c r="L5345" s="1"/>
    </row>
    <row r="5346" spans="1:12" ht="18" customHeight="1" x14ac:dyDescent="0.15">
      <c r="A5346" s="1">
        <v>1411</v>
      </c>
      <c r="B5346" s="1" t="s">
        <v>28</v>
      </c>
      <c r="C5346" s="1" t="s">
        <v>151</v>
      </c>
      <c r="D5346" s="1">
        <v>1</v>
      </c>
      <c r="E5346" s="1" t="s">
        <v>4</v>
      </c>
      <c r="F5346" s="2">
        <v>20700</v>
      </c>
      <c r="G5346" s="2" t="s">
        <v>667</v>
      </c>
      <c r="H5346" s="1" t="str">
        <f t="shared" si="176"/>
        <v>平成22年2月26日</v>
      </c>
      <c r="I5346" s="22">
        <f t="shared" si="177"/>
        <v>40235</v>
      </c>
      <c r="J5346" s="1" t="str">
        <f>"00739209"</f>
        <v>00739209</v>
      </c>
      <c r="K5346" s="1" t="str">
        <f>"２０３７　　　　　　　　　　　　　　　　"</f>
        <v>２０３７　　　　　　　　　　　　　　　　</v>
      </c>
      <c r="L5346" s="1"/>
    </row>
    <row r="5347" spans="1:12" ht="18" customHeight="1" x14ac:dyDescent="0.15">
      <c r="A5347" s="1">
        <v>1412</v>
      </c>
      <c r="B5347" s="1" t="s">
        <v>28</v>
      </c>
      <c r="C5347" s="1" t="s">
        <v>151</v>
      </c>
      <c r="D5347" s="1">
        <v>1</v>
      </c>
      <c r="E5347" s="1" t="s">
        <v>4</v>
      </c>
      <c r="F5347" s="2">
        <v>20700</v>
      </c>
      <c r="G5347" s="2" t="s">
        <v>667</v>
      </c>
      <c r="H5347" s="1" t="str">
        <f t="shared" si="176"/>
        <v>平成22年2月26日</v>
      </c>
      <c r="I5347" s="22">
        <f t="shared" si="177"/>
        <v>40235</v>
      </c>
      <c r="J5347" s="1" t="str">
        <f>"00739211"</f>
        <v>00739211</v>
      </c>
      <c r="K5347" s="1" t="str">
        <f>"２０３８　　　　　　　　　　　　　　　　"</f>
        <v>２０３８　　　　　　　　　　　　　　　　</v>
      </c>
      <c r="L5347" s="1"/>
    </row>
    <row r="5348" spans="1:12" ht="18" customHeight="1" x14ac:dyDescent="0.15">
      <c r="A5348" s="1">
        <v>1413</v>
      </c>
      <c r="B5348" s="1" t="s">
        <v>28</v>
      </c>
      <c r="C5348" s="1" t="s">
        <v>151</v>
      </c>
      <c r="D5348" s="1">
        <v>1</v>
      </c>
      <c r="E5348" s="1" t="s">
        <v>4</v>
      </c>
      <c r="F5348" s="2">
        <v>20700</v>
      </c>
      <c r="G5348" s="2" t="s">
        <v>667</v>
      </c>
      <c r="H5348" s="1" t="str">
        <f t="shared" si="176"/>
        <v>平成22年2月26日</v>
      </c>
      <c r="I5348" s="22">
        <f t="shared" si="177"/>
        <v>40235</v>
      </c>
      <c r="J5348" s="1" t="str">
        <f>"00739213"</f>
        <v>00739213</v>
      </c>
      <c r="K5348" s="1" t="str">
        <f>"２０３９　　　　　　　　　　　　　　　　"</f>
        <v>２０３９　　　　　　　　　　　　　　　　</v>
      </c>
      <c r="L5348" s="1"/>
    </row>
    <row r="5349" spans="1:12" ht="18" customHeight="1" x14ac:dyDescent="0.15">
      <c r="A5349" s="1">
        <v>1414</v>
      </c>
      <c r="B5349" s="1" t="s">
        <v>28</v>
      </c>
      <c r="C5349" s="1" t="s">
        <v>151</v>
      </c>
      <c r="D5349" s="1">
        <v>1</v>
      </c>
      <c r="E5349" s="1" t="s">
        <v>4</v>
      </c>
      <c r="F5349" s="2">
        <v>20700</v>
      </c>
      <c r="G5349" s="2" t="s">
        <v>667</v>
      </c>
      <c r="H5349" s="1" t="str">
        <f t="shared" ref="H5349:H5412" si="178">"平成22年2月26日"</f>
        <v>平成22年2月26日</v>
      </c>
      <c r="I5349" s="22">
        <f t="shared" si="177"/>
        <v>40235</v>
      </c>
      <c r="J5349" s="1" t="str">
        <f>"00739215"</f>
        <v>00739215</v>
      </c>
      <c r="K5349" s="1" t="str">
        <f>"２０４０　　　　　　　　　　　　　　　　"</f>
        <v>２０４０　　　　　　　　　　　　　　　　</v>
      </c>
      <c r="L5349" s="1"/>
    </row>
    <row r="5350" spans="1:12" ht="18" customHeight="1" x14ac:dyDescent="0.15">
      <c r="A5350" s="1">
        <v>1415</v>
      </c>
      <c r="B5350" s="1" t="s">
        <v>28</v>
      </c>
      <c r="C5350" s="1" t="s">
        <v>151</v>
      </c>
      <c r="D5350" s="1">
        <v>1</v>
      </c>
      <c r="E5350" s="1" t="s">
        <v>4</v>
      </c>
      <c r="F5350" s="2">
        <v>20700</v>
      </c>
      <c r="G5350" s="2" t="s">
        <v>667</v>
      </c>
      <c r="H5350" s="1" t="str">
        <f t="shared" si="178"/>
        <v>平成22年2月26日</v>
      </c>
      <c r="I5350" s="22">
        <f t="shared" si="177"/>
        <v>40235</v>
      </c>
      <c r="J5350" s="1" t="str">
        <f>"00739217"</f>
        <v>00739217</v>
      </c>
      <c r="K5350" s="1" t="str">
        <f>"２０４１　　　　　　　　　　　　　　　　"</f>
        <v>２０４１　　　　　　　　　　　　　　　　</v>
      </c>
      <c r="L5350" s="1"/>
    </row>
    <row r="5351" spans="1:12" ht="18" customHeight="1" x14ac:dyDescent="0.15">
      <c r="A5351" s="1">
        <v>1416</v>
      </c>
      <c r="B5351" s="1" t="s">
        <v>28</v>
      </c>
      <c r="C5351" s="1" t="s">
        <v>151</v>
      </c>
      <c r="D5351" s="1">
        <v>1</v>
      </c>
      <c r="E5351" s="1" t="s">
        <v>4</v>
      </c>
      <c r="F5351" s="2">
        <v>20700</v>
      </c>
      <c r="G5351" s="2" t="s">
        <v>667</v>
      </c>
      <c r="H5351" s="1" t="str">
        <f t="shared" si="178"/>
        <v>平成22年2月26日</v>
      </c>
      <c r="I5351" s="22">
        <f t="shared" si="177"/>
        <v>40235</v>
      </c>
      <c r="J5351" s="1" t="str">
        <f>"00739219"</f>
        <v>00739219</v>
      </c>
      <c r="K5351" s="1" t="str">
        <f>"２０４２　　　　　　　　　　　　　　　　"</f>
        <v>２０４２　　　　　　　　　　　　　　　　</v>
      </c>
      <c r="L5351" s="1"/>
    </row>
    <row r="5352" spans="1:12" ht="18" customHeight="1" x14ac:dyDescent="0.15">
      <c r="A5352" s="1">
        <v>1417</v>
      </c>
      <c r="B5352" s="1" t="s">
        <v>28</v>
      </c>
      <c r="C5352" s="1" t="s">
        <v>151</v>
      </c>
      <c r="D5352" s="1">
        <v>1</v>
      </c>
      <c r="E5352" s="1" t="s">
        <v>4</v>
      </c>
      <c r="F5352" s="2">
        <v>20700</v>
      </c>
      <c r="G5352" s="2" t="s">
        <v>667</v>
      </c>
      <c r="H5352" s="1" t="str">
        <f t="shared" si="178"/>
        <v>平成22年2月26日</v>
      </c>
      <c r="I5352" s="22">
        <f t="shared" si="177"/>
        <v>40235</v>
      </c>
      <c r="J5352" s="1" t="str">
        <f>"00739221"</f>
        <v>00739221</v>
      </c>
      <c r="K5352" s="1" t="str">
        <f>"２０４３　　　　　　　　　　　　　　　　"</f>
        <v>２０４３　　　　　　　　　　　　　　　　</v>
      </c>
      <c r="L5352" s="1"/>
    </row>
    <row r="5353" spans="1:12" ht="18" customHeight="1" x14ac:dyDescent="0.15">
      <c r="A5353" s="1">
        <v>1418</v>
      </c>
      <c r="B5353" s="1" t="s">
        <v>28</v>
      </c>
      <c r="C5353" s="1" t="s">
        <v>151</v>
      </c>
      <c r="D5353" s="1">
        <v>1</v>
      </c>
      <c r="E5353" s="1" t="s">
        <v>4</v>
      </c>
      <c r="F5353" s="2">
        <v>20700</v>
      </c>
      <c r="G5353" s="2" t="s">
        <v>667</v>
      </c>
      <c r="H5353" s="1" t="str">
        <f t="shared" si="178"/>
        <v>平成22年2月26日</v>
      </c>
      <c r="I5353" s="22">
        <f t="shared" si="177"/>
        <v>40235</v>
      </c>
      <c r="J5353" s="1" t="str">
        <f>"00739223"</f>
        <v>00739223</v>
      </c>
      <c r="K5353" s="1" t="str">
        <f>"２０４４　　　　　　　　　　　　　　　　"</f>
        <v>２０４４　　　　　　　　　　　　　　　　</v>
      </c>
      <c r="L5353" s="1"/>
    </row>
    <row r="5354" spans="1:12" ht="18" customHeight="1" x14ac:dyDescent="0.15">
      <c r="A5354" s="1">
        <v>1419</v>
      </c>
      <c r="B5354" s="1" t="s">
        <v>28</v>
      </c>
      <c r="C5354" s="1" t="s">
        <v>151</v>
      </c>
      <c r="D5354" s="1">
        <v>1</v>
      </c>
      <c r="E5354" s="1" t="s">
        <v>4</v>
      </c>
      <c r="F5354" s="2">
        <v>20700</v>
      </c>
      <c r="G5354" s="2" t="s">
        <v>667</v>
      </c>
      <c r="H5354" s="1" t="str">
        <f t="shared" si="178"/>
        <v>平成22年2月26日</v>
      </c>
      <c r="I5354" s="22">
        <f t="shared" si="177"/>
        <v>40235</v>
      </c>
      <c r="J5354" s="1" t="str">
        <f>"00739225"</f>
        <v>00739225</v>
      </c>
      <c r="K5354" s="1" t="str">
        <f>"２０４５　　　　　　　　　　　　　　　　"</f>
        <v>２０４５　　　　　　　　　　　　　　　　</v>
      </c>
      <c r="L5354" s="1"/>
    </row>
    <row r="5355" spans="1:12" ht="18" customHeight="1" x14ac:dyDescent="0.15">
      <c r="A5355" s="1">
        <v>1420</v>
      </c>
      <c r="B5355" s="1" t="s">
        <v>28</v>
      </c>
      <c r="C5355" s="1" t="s">
        <v>151</v>
      </c>
      <c r="D5355" s="1">
        <v>1</v>
      </c>
      <c r="E5355" s="1" t="s">
        <v>4</v>
      </c>
      <c r="F5355" s="2">
        <v>20700</v>
      </c>
      <c r="G5355" s="2" t="s">
        <v>667</v>
      </c>
      <c r="H5355" s="1" t="str">
        <f t="shared" si="178"/>
        <v>平成22年2月26日</v>
      </c>
      <c r="I5355" s="22">
        <f t="shared" si="177"/>
        <v>40235</v>
      </c>
      <c r="J5355" s="1" t="str">
        <f>"00739227"</f>
        <v>00739227</v>
      </c>
      <c r="K5355" s="1" t="str">
        <f>"２０４６　　　　　　　　　　　　　　　　"</f>
        <v>２０４６　　　　　　　　　　　　　　　　</v>
      </c>
      <c r="L5355" s="1"/>
    </row>
    <row r="5356" spans="1:12" ht="18" customHeight="1" x14ac:dyDescent="0.15">
      <c r="A5356" s="1">
        <v>1421</v>
      </c>
      <c r="B5356" s="1" t="s">
        <v>28</v>
      </c>
      <c r="C5356" s="1" t="s">
        <v>151</v>
      </c>
      <c r="D5356" s="1">
        <v>1</v>
      </c>
      <c r="E5356" s="1" t="s">
        <v>4</v>
      </c>
      <c r="F5356" s="2">
        <v>20700</v>
      </c>
      <c r="G5356" s="2" t="s">
        <v>667</v>
      </c>
      <c r="H5356" s="1" t="str">
        <f t="shared" si="178"/>
        <v>平成22年2月26日</v>
      </c>
      <c r="I5356" s="22">
        <f t="shared" si="177"/>
        <v>40235</v>
      </c>
      <c r="J5356" s="1" t="str">
        <f>"00739229"</f>
        <v>00739229</v>
      </c>
      <c r="K5356" s="1" t="str">
        <f>"２０４７　　　　　　　　　　　　　　　　"</f>
        <v>２０４７　　　　　　　　　　　　　　　　</v>
      </c>
      <c r="L5356" s="1"/>
    </row>
    <row r="5357" spans="1:12" ht="18" customHeight="1" x14ac:dyDescent="0.15">
      <c r="A5357" s="1">
        <v>1422</v>
      </c>
      <c r="B5357" s="1" t="s">
        <v>28</v>
      </c>
      <c r="C5357" s="1" t="s">
        <v>151</v>
      </c>
      <c r="D5357" s="1">
        <v>1</v>
      </c>
      <c r="E5357" s="1" t="s">
        <v>4</v>
      </c>
      <c r="F5357" s="2">
        <v>20700</v>
      </c>
      <c r="G5357" s="2" t="s">
        <v>667</v>
      </c>
      <c r="H5357" s="1" t="str">
        <f t="shared" si="178"/>
        <v>平成22年2月26日</v>
      </c>
      <c r="I5357" s="22">
        <f t="shared" si="177"/>
        <v>40235</v>
      </c>
      <c r="J5357" s="1" t="str">
        <f>"00739231"</f>
        <v>00739231</v>
      </c>
      <c r="K5357" s="1" t="str">
        <f>"２０４８　　　　　　　　　　　　　　　　"</f>
        <v>２０４８　　　　　　　　　　　　　　　　</v>
      </c>
      <c r="L5357" s="1"/>
    </row>
    <row r="5358" spans="1:12" ht="18" customHeight="1" x14ac:dyDescent="0.15">
      <c r="A5358" s="1">
        <v>1423</v>
      </c>
      <c r="B5358" s="1" t="s">
        <v>28</v>
      </c>
      <c r="C5358" s="1" t="s">
        <v>151</v>
      </c>
      <c r="D5358" s="1">
        <v>1</v>
      </c>
      <c r="E5358" s="1" t="s">
        <v>4</v>
      </c>
      <c r="F5358" s="2">
        <v>20700</v>
      </c>
      <c r="G5358" s="2" t="s">
        <v>667</v>
      </c>
      <c r="H5358" s="1" t="str">
        <f t="shared" si="178"/>
        <v>平成22年2月26日</v>
      </c>
      <c r="I5358" s="22">
        <f t="shared" si="177"/>
        <v>40235</v>
      </c>
      <c r="J5358" s="1" t="str">
        <f>"00739233"</f>
        <v>00739233</v>
      </c>
      <c r="K5358" s="1" t="str">
        <f>"２０４９　　　　　　　　　　　　　　　　"</f>
        <v>２０４９　　　　　　　　　　　　　　　　</v>
      </c>
      <c r="L5358" s="1"/>
    </row>
    <row r="5359" spans="1:12" ht="18" customHeight="1" x14ac:dyDescent="0.15">
      <c r="A5359" s="1">
        <v>1424</v>
      </c>
      <c r="B5359" s="1" t="s">
        <v>28</v>
      </c>
      <c r="C5359" s="1" t="s">
        <v>151</v>
      </c>
      <c r="D5359" s="1">
        <v>1</v>
      </c>
      <c r="E5359" s="1" t="s">
        <v>4</v>
      </c>
      <c r="F5359" s="2">
        <v>20700</v>
      </c>
      <c r="G5359" s="2" t="s">
        <v>667</v>
      </c>
      <c r="H5359" s="1" t="str">
        <f t="shared" si="178"/>
        <v>平成22年2月26日</v>
      </c>
      <c r="I5359" s="22">
        <f t="shared" si="177"/>
        <v>40235</v>
      </c>
      <c r="J5359" s="1" t="str">
        <f>"00739235"</f>
        <v>00739235</v>
      </c>
      <c r="K5359" s="1" t="str">
        <f>"２０５０　　　　　　　　　　　　　　　　"</f>
        <v>２０５０　　　　　　　　　　　　　　　　</v>
      </c>
      <c r="L5359" s="1"/>
    </row>
    <row r="5360" spans="1:12" ht="18" customHeight="1" x14ac:dyDescent="0.15">
      <c r="A5360" s="1">
        <v>1425</v>
      </c>
      <c r="B5360" s="1" t="s">
        <v>28</v>
      </c>
      <c r="C5360" s="1" t="s">
        <v>151</v>
      </c>
      <c r="D5360" s="1">
        <v>1</v>
      </c>
      <c r="E5360" s="1" t="s">
        <v>4</v>
      </c>
      <c r="F5360" s="2">
        <v>20700</v>
      </c>
      <c r="G5360" s="2" t="s">
        <v>667</v>
      </c>
      <c r="H5360" s="1" t="str">
        <f t="shared" si="178"/>
        <v>平成22年2月26日</v>
      </c>
      <c r="I5360" s="22">
        <f t="shared" si="177"/>
        <v>40235</v>
      </c>
      <c r="J5360" s="1" t="str">
        <f>"00739237"</f>
        <v>00739237</v>
      </c>
      <c r="K5360" s="1" t="str">
        <f>"２０５１　　　　　　　　　　　　　　　　"</f>
        <v>２０５１　　　　　　　　　　　　　　　　</v>
      </c>
      <c r="L5360" s="1"/>
    </row>
    <row r="5361" spans="1:12" ht="18" customHeight="1" x14ac:dyDescent="0.15">
      <c r="A5361" s="1">
        <v>1426</v>
      </c>
      <c r="B5361" s="1" t="s">
        <v>28</v>
      </c>
      <c r="C5361" s="1" t="s">
        <v>151</v>
      </c>
      <c r="D5361" s="1">
        <v>1</v>
      </c>
      <c r="E5361" s="1" t="s">
        <v>4</v>
      </c>
      <c r="F5361" s="2">
        <v>20700</v>
      </c>
      <c r="G5361" s="2" t="s">
        <v>667</v>
      </c>
      <c r="H5361" s="1" t="str">
        <f t="shared" si="178"/>
        <v>平成22年2月26日</v>
      </c>
      <c r="I5361" s="22">
        <f t="shared" si="177"/>
        <v>40235</v>
      </c>
      <c r="J5361" s="1" t="str">
        <f>"00739239"</f>
        <v>00739239</v>
      </c>
      <c r="K5361" s="1" t="str">
        <f>"２０５２　　　　　　　　　　　　　　　　"</f>
        <v>２０５２　　　　　　　　　　　　　　　　</v>
      </c>
      <c r="L5361" s="1"/>
    </row>
    <row r="5362" spans="1:12" ht="18" customHeight="1" x14ac:dyDescent="0.15">
      <c r="A5362" s="1">
        <v>1427</v>
      </c>
      <c r="B5362" s="1" t="s">
        <v>28</v>
      </c>
      <c r="C5362" s="1" t="s">
        <v>151</v>
      </c>
      <c r="D5362" s="1">
        <v>1</v>
      </c>
      <c r="E5362" s="1" t="s">
        <v>4</v>
      </c>
      <c r="F5362" s="2">
        <v>20700</v>
      </c>
      <c r="G5362" s="2" t="s">
        <v>667</v>
      </c>
      <c r="H5362" s="1" t="str">
        <f t="shared" si="178"/>
        <v>平成22年2月26日</v>
      </c>
      <c r="I5362" s="22">
        <f t="shared" si="177"/>
        <v>40235</v>
      </c>
      <c r="J5362" s="1" t="str">
        <f>"00739241"</f>
        <v>00739241</v>
      </c>
      <c r="K5362" s="1" t="str">
        <f>"２０５３　　　　　　　　　　　　　　　　"</f>
        <v>２０５３　　　　　　　　　　　　　　　　</v>
      </c>
      <c r="L5362" s="1"/>
    </row>
    <row r="5363" spans="1:12" ht="18" customHeight="1" x14ac:dyDescent="0.15">
      <c r="A5363" s="1">
        <v>1428</v>
      </c>
      <c r="B5363" s="1" t="s">
        <v>28</v>
      </c>
      <c r="C5363" s="1" t="s">
        <v>151</v>
      </c>
      <c r="D5363" s="1">
        <v>1</v>
      </c>
      <c r="E5363" s="1" t="s">
        <v>4</v>
      </c>
      <c r="F5363" s="2">
        <v>20700</v>
      </c>
      <c r="G5363" s="2" t="s">
        <v>667</v>
      </c>
      <c r="H5363" s="1" t="str">
        <f t="shared" si="178"/>
        <v>平成22年2月26日</v>
      </c>
      <c r="I5363" s="22">
        <f t="shared" si="177"/>
        <v>40235</v>
      </c>
      <c r="J5363" s="1" t="str">
        <f>"00739243"</f>
        <v>00739243</v>
      </c>
      <c r="K5363" s="1" t="str">
        <f>"２０５４　　　　　　　　　　　　　　　　"</f>
        <v>２０５４　　　　　　　　　　　　　　　　</v>
      </c>
      <c r="L5363" s="1"/>
    </row>
    <row r="5364" spans="1:12" ht="18" customHeight="1" x14ac:dyDescent="0.15">
      <c r="A5364" s="1">
        <v>1429</v>
      </c>
      <c r="B5364" s="1" t="s">
        <v>28</v>
      </c>
      <c r="C5364" s="1" t="s">
        <v>151</v>
      </c>
      <c r="D5364" s="1">
        <v>1</v>
      </c>
      <c r="E5364" s="1" t="s">
        <v>4</v>
      </c>
      <c r="F5364" s="2">
        <v>20700</v>
      </c>
      <c r="G5364" s="2" t="s">
        <v>667</v>
      </c>
      <c r="H5364" s="1" t="str">
        <f t="shared" si="178"/>
        <v>平成22年2月26日</v>
      </c>
      <c r="I5364" s="22">
        <f t="shared" si="177"/>
        <v>40235</v>
      </c>
      <c r="J5364" s="1" t="str">
        <f>"00739245"</f>
        <v>00739245</v>
      </c>
      <c r="K5364" s="1" t="str">
        <f>"２０５５　　　　　　　　　　　　　　　　"</f>
        <v>２０５５　　　　　　　　　　　　　　　　</v>
      </c>
      <c r="L5364" s="1"/>
    </row>
    <row r="5365" spans="1:12" ht="18" customHeight="1" x14ac:dyDescent="0.15">
      <c r="A5365" s="1">
        <v>1430</v>
      </c>
      <c r="B5365" s="1" t="s">
        <v>28</v>
      </c>
      <c r="C5365" s="1" t="s">
        <v>151</v>
      </c>
      <c r="D5365" s="1">
        <v>1</v>
      </c>
      <c r="E5365" s="1" t="s">
        <v>4</v>
      </c>
      <c r="F5365" s="2">
        <v>20700</v>
      </c>
      <c r="G5365" s="2" t="s">
        <v>667</v>
      </c>
      <c r="H5365" s="1" t="str">
        <f t="shared" si="178"/>
        <v>平成22年2月26日</v>
      </c>
      <c r="I5365" s="22">
        <f t="shared" si="177"/>
        <v>40235</v>
      </c>
      <c r="J5365" s="1" t="str">
        <f>"00739247"</f>
        <v>00739247</v>
      </c>
      <c r="K5365" s="1" t="str">
        <f>"２０５６　　　　　　　　　　　　　　　　"</f>
        <v>２０５６　　　　　　　　　　　　　　　　</v>
      </c>
      <c r="L5365" s="1"/>
    </row>
    <row r="5366" spans="1:12" ht="18" customHeight="1" x14ac:dyDescent="0.15">
      <c r="A5366" s="1">
        <v>1431</v>
      </c>
      <c r="B5366" s="1" t="s">
        <v>28</v>
      </c>
      <c r="C5366" s="1" t="s">
        <v>151</v>
      </c>
      <c r="D5366" s="1">
        <v>1</v>
      </c>
      <c r="E5366" s="1" t="s">
        <v>4</v>
      </c>
      <c r="F5366" s="2">
        <v>20700</v>
      </c>
      <c r="G5366" s="2" t="s">
        <v>667</v>
      </c>
      <c r="H5366" s="1" t="str">
        <f t="shared" si="178"/>
        <v>平成22年2月26日</v>
      </c>
      <c r="I5366" s="22">
        <f t="shared" si="177"/>
        <v>40235</v>
      </c>
      <c r="J5366" s="1" t="str">
        <f>"00739249"</f>
        <v>00739249</v>
      </c>
      <c r="K5366" s="1" t="str">
        <f>"２０５７　　　　　　　　　　　　　　　　"</f>
        <v>２０５７　　　　　　　　　　　　　　　　</v>
      </c>
      <c r="L5366" s="1"/>
    </row>
    <row r="5367" spans="1:12" ht="18" customHeight="1" x14ac:dyDescent="0.15">
      <c r="A5367" s="1">
        <v>1432</v>
      </c>
      <c r="B5367" s="1" t="s">
        <v>28</v>
      </c>
      <c r="C5367" s="1" t="s">
        <v>151</v>
      </c>
      <c r="D5367" s="1">
        <v>1</v>
      </c>
      <c r="E5367" s="1" t="s">
        <v>4</v>
      </c>
      <c r="F5367" s="2">
        <v>20700</v>
      </c>
      <c r="G5367" s="2" t="s">
        <v>667</v>
      </c>
      <c r="H5367" s="1" t="str">
        <f t="shared" si="178"/>
        <v>平成22年2月26日</v>
      </c>
      <c r="I5367" s="22">
        <f t="shared" si="177"/>
        <v>40235</v>
      </c>
      <c r="J5367" s="1" t="str">
        <f>"00739251"</f>
        <v>00739251</v>
      </c>
      <c r="K5367" s="1" t="str">
        <f>"２０５８　　　　　　　　　　　　　　　　"</f>
        <v>２０５８　　　　　　　　　　　　　　　　</v>
      </c>
      <c r="L5367" s="1"/>
    </row>
    <row r="5368" spans="1:12" ht="18" customHeight="1" x14ac:dyDescent="0.15">
      <c r="A5368" s="1">
        <v>1433</v>
      </c>
      <c r="B5368" s="1" t="s">
        <v>28</v>
      </c>
      <c r="C5368" s="1" t="s">
        <v>151</v>
      </c>
      <c r="D5368" s="1">
        <v>1</v>
      </c>
      <c r="E5368" s="1" t="s">
        <v>4</v>
      </c>
      <c r="F5368" s="2">
        <v>20700</v>
      </c>
      <c r="G5368" s="2" t="s">
        <v>667</v>
      </c>
      <c r="H5368" s="1" t="str">
        <f t="shared" si="178"/>
        <v>平成22年2月26日</v>
      </c>
      <c r="I5368" s="22">
        <f t="shared" si="177"/>
        <v>40235</v>
      </c>
      <c r="J5368" s="1" t="str">
        <f>"00739253"</f>
        <v>00739253</v>
      </c>
      <c r="K5368" s="1" t="str">
        <f>"２０５９　　　　　　　　　　　　　　　　"</f>
        <v>２０５９　　　　　　　　　　　　　　　　</v>
      </c>
      <c r="L5368" s="1"/>
    </row>
    <row r="5369" spans="1:12" ht="18" customHeight="1" x14ac:dyDescent="0.15">
      <c r="A5369" s="1">
        <v>1434</v>
      </c>
      <c r="B5369" s="1" t="s">
        <v>28</v>
      </c>
      <c r="C5369" s="1" t="s">
        <v>151</v>
      </c>
      <c r="D5369" s="1">
        <v>1</v>
      </c>
      <c r="E5369" s="1" t="s">
        <v>4</v>
      </c>
      <c r="F5369" s="2">
        <v>20700</v>
      </c>
      <c r="G5369" s="2" t="s">
        <v>667</v>
      </c>
      <c r="H5369" s="1" t="str">
        <f t="shared" si="178"/>
        <v>平成22年2月26日</v>
      </c>
      <c r="I5369" s="22">
        <f t="shared" si="177"/>
        <v>40235</v>
      </c>
      <c r="J5369" s="1" t="str">
        <f>"00739255"</f>
        <v>00739255</v>
      </c>
      <c r="K5369" s="1" t="str">
        <f>"２０６０　　　　　　　　　　　　　　　　"</f>
        <v>２０６０　　　　　　　　　　　　　　　　</v>
      </c>
      <c r="L5369" s="1"/>
    </row>
    <row r="5370" spans="1:12" ht="18" customHeight="1" x14ac:dyDescent="0.15">
      <c r="A5370" s="1">
        <v>1435</v>
      </c>
      <c r="B5370" s="1" t="s">
        <v>28</v>
      </c>
      <c r="C5370" s="1" t="s">
        <v>151</v>
      </c>
      <c r="D5370" s="1">
        <v>1</v>
      </c>
      <c r="E5370" s="1" t="s">
        <v>4</v>
      </c>
      <c r="F5370" s="2">
        <v>20700</v>
      </c>
      <c r="G5370" s="2" t="s">
        <v>667</v>
      </c>
      <c r="H5370" s="1" t="str">
        <f t="shared" si="178"/>
        <v>平成22年2月26日</v>
      </c>
      <c r="I5370" s="22">
        <f t="shared" si="177"/>
        <v>40235</v>
      </c>
      <c r="J5370" s="1" t="str">
        <f>"00739257"</f>
        <v>00739257</v>
      </c>
      <c r="K5370" s="1" t="str">
        <f>"２０６１　　　　　　　　　　　　　　　　"</f>
        <v>２０６１　　　　　　　　　　　　　　　　</v>
      </c>
      <c r="L5370" s="1"/>
    </row>
    <row r="5371" spans="1:12" ht="18" customHeight="1" x14ac:dyDescent="0.15">
      <c r="A5371" s="1">
        <v>1436</v>
      </c>
      <c r="B5371" s="1" t="s">
        <v>28</v>
      </c>
      <c r="C5371" s="1" t="s">
        <v>151</v>
      </c>
      <c r="D5371" s="1">
        <v>1</v>
      </c>
      <c r="E5371" s="1" t="s">
        <v>4</v>
      </c>
      <c r="F5371" s="2">
        <v>20700</v>
      </c>
      <c r="G5371" s="2" t="s">
        <v>667</v>
      </c>
      <c r="H5371" s="1" t="str">
        <f t="shared" si="178"/>
        <v>平成22年2月26日</v>
      </c>
      <c r="I5371" s="22">
        <f t="shared" si="177"/>
        <v>40235</v>
      </c>
      <c r="J5371" s="1" t="str">
        <f>"00739259"</f>
        <v>00739259</v>
      </c>
      <c r="K5371" s="1" t="str">
        <f>"２０６２　　　　　　　　　　　　　　　　"</f>
        <v>２０６２　　　　　　　　　　　　　　　　</v>
      </c>
      <c r="L5371" s="1"/>
    </row>
    <row r="5372" spans="1:12" ht="18" customHeight="1" x14ac:dyDescent="0.15">
      <c r="A5372" s="1">
        <v>1437</v>
      </c>
      <c r="B5372" s="1" t="s">
        <v>28</v>
      </c>
      <c r="C5372" s="1" t="s">
        <v>151</v>
      </c>
      <c r="D5372" s="1">
        <v>1</v>
      </c>
      <c r="E5372" s="1" t="s">
        <v>4</v>
      </c>
      <c r="F5372" s="2">
        <v>20700</v>
      </c>
      <c r="G5372" s="2" t="s">
        <v>667</v>
      </c>
      <c r="H5372" s="1" t="str">
        <f t="shared" si="178"/>
        <v>平成22年2月26日</v>
      </c>
      <c r="I5372" s="22">
        <f t="shared" si="177"/>
        <v>40235</v>
      </c>
      <c r="J5372" s="1" t="str">
        <f>"00739261"</f>
        <v>00739261</v>
      </c>
      <c r="K5372" s="1" t="str">
        <f>"２０６３　　　　　　　　　　　　　　　　"</f>
        <v>２０６３　　　　　　　　　　　　　　　　</v>
      </c>
      <c r="L5372" s="1"/>
    </row>
    <row r="5373" spans="1:12" ht="18" customHeight="1" x14ac:dyDescent="0.15">
      <c r="A5373" s="1">
        <v>1438</v>
      </c>
      <c r="B5373" s="1" t="s">
        <v>28</v>
      </c>
      <c r="C5373" s="1" t="s">
        <v>151</v>
      </c>
      <c r="D5373" s="1">
        <v>1</v>
      </c>
      <c r="E5373" s="1" t="s">
        <v>4</v>
      </c>
      <c r="F5373" s="2">
        <v>20700</v>
      </c>
      <c r="G5373" s="2" t="s">
        <v>667</v>
      </c>
      <c r="H5373" s="1" t="str">
        <f t="shared" si="178"/>
        <v>平成22年2月26日</v>
      </c>
      <c r="I5373" s="22">
        <f t="shared" si="177"/>
        <v>40235</v>
      </c>
      <c r="J5373" s="1" t="str">
        <f>"00739263"</f>
        <v>00739263</v>
      </c>
      <c r="K5373" s="1" t="str">
        <f>"２０６４　　　　　　　　　　　　　　　　"</f>
        <v>２０６４　　　　　　　　　　　　　　　　</v>
      </c>
      <c r="L5373" s="1"/>
    </row>
    <row r="5374" spans="1:12" ht="18" customHeight="1" x14ac:dyDescent="0.15">
      <c r="A5374" s="1">
        <v>1439</v>
      </c>
      <c r="B5374" s="1" t="s">
        <v>28</v>
      </c>
      <c r="C5374" s="1" t="s">
        <v>151</v>
      </c>
      <c r="D5374" s="1">
        <v>1</v>
      </c>
      <c r="E5374" s="1" t="s">
        <v>4</v>
      </c>
      <c r="F5374" s="2">
        <v>20700</v>
      </c>
      <c r="G5374" s="2" t="s">
        <v>667</v>
      </c>
      <c r="H5374" s="1" t="str">
        <f t="shared" si="178"/>
        <v>平成22年2月26日</v>
      </c>
      <c r="I5374" s="22">
        <f t="shared" si="177"/>
        <v>40235</v>
      </c>
      <c r="J5374" s="1" t="str">
        <f>"00739265"</f>
        <v>00739265</v>
      </c>
      <c r="K5374" s="1" t="str">
        <f>"２０６５　　　　　　　　　　　　　　　　"</f>
        <v>２０６５　　　　　　　　　　　　　　　　</v>
      </c>
      <c r="L5374" s="1"/>
    </row>
    <row r="5375" spans="1:12" ht="18" customHeight="1" x14ac:dyDescent="0.15">
      <c r="A5375" s="1">
        <v>1440</v>
      </c>
      <c r="B5375" s="1" t="s">
        <v>28</v>
      </c>
      <c r="C5375" s="1" t="s">
        <v>151</v>
      </c>
      <c r="D5375" s="1">
        <v>1</v>
      </c>
      <c r="E5375" s="1" t="s">
        <v>4</v>
      </c>
      <c r="F5375" s="2">
        <v>20700</v>
      </c>
      <c r="G5375" s="2" t="s">
        <v>667</v>
      </c>
      <c r="H5375" s="1" t="str">
        <f t="shared" si="178"/>
        <v>平成22年2月26日</v>
      </c>
      <c r="I5375" s="22">
        <f t="shared" si="177"/>
        <v>40235</v>
      </c>
      <c r="J5375" s="1" t="str">
        <f>"00739267"</f>
        <v>00739267</v>
      </c>
      <c r="K5375" s="1" t="str">
        <f>"２０６６　　　　　　　　　　　　　　　　"</f>
        <v>２０６６　　　　　　　　　　　　　　　　</v>
      </c>
      <c r="L5375" s="1"/>
    </row>
    <row r="5376" spans="1:12" ht="18" customHeight="1" x14ac:dyDescent="0.15">
      <c r="A5376" s="1">
        <v>1441</v>
      </c>
      <c r="B5376" s="1" t="s">
        <v>28</v>
      </c>
      <c r="C5376" s="1" t="s">
        <v>151</v>
      </c>
      <c r="D5376" s="1">
        <v>1</v>
      </c>
      <c r="E5376" s="1" t="s">
        <v>4</v>
      </c>
      <c r="F5376" s="2">
        <v>20700</v>
      </c>
      <c r="G5376" s="2" t="s">
        <v>667</v>
      </c>
      <c r="H5376" s="1" t="str">
        <f t="shared" si="178"/>
        <v>平成22年2月26日</v>
      </c>
      <c r="I5376" s="22">
        <f t="shared" si="177"/>
        <v>40235</v>
      </c>
      <c r="J5376" s="1" t="str">
        <f>"00739269"</f>
        <v>00739269</v>
      </c>
      <c r="K5376" s="1" t="str">
        <f>"２０６７　　　　　　　　　　　　　　　　"</f>
        <v>２０６７　　　　　　　　　　　　　　　　</v>
      </c>
      <c r="L5376" s="1"/>
    </row>
    <row r="5377" spans="1:12" ht="18" customHeight="1" x14ac:dyDescent="0.15">
      <c r="A5377" s="1">
        <v>1442</v>
      </c>
      <c r="B5377" s="1" t="s">
        <v>28</v>
      </c>
      <c r="C5377" s="1" t="s">
        <v>151</v>
      </c>
      <c r="D5377" s="1">
        <v>1</v>
      </c>
      <c r="E5377" s="1" t="s">
        <v>4</v>
      </c>
      <c r="F5377" s="2">
        <v>20700</v>
      </c>
      <c r="G5377" s="2" t="s">
        <v>667</v>
      </c>
      <c r="H5377" s="1" t="str">
        <f t="shared" si="178"/>
        <v>平成22年2月26日</v>
      </c>
      <c r="I5377" s="22">
        <f t="shared" si="177"/>
        <v>40235</v>
      </c>
      <c r="J5377" s="1" t="str">
        <f>"00739271"</f>
        <v>00739271</v>
      </c>
      <c r="K5377" s="1" t="str">
        <f>"２０６８　　　　　　　　　　　　　　　　"</f>
        <v>２０６８　　　　　　　　　　　　　　　　</v>
      </c>
      <c r="L5377" s="1"/>
    </row>
    <row r="5378" spans="1:12" ht="18" customHeight="1" x14ac:dyDescent="0.15">
      <c r="A5378" s="1">
        <v>1443</v>
      </c>
      <c r="B5378" s="1" t="s">
        <v>28</v>
      </c>
      <c r="C5378" s="1" t="s">
        <v>151</v>
      </c>
      <c r="D5378" s="1">
        <v>1</v>
      </c>
      <c r="E5378" s="1" t="s">
        <v>4</v>
      </c>
      <c r="F5378" s="2">
        <v>20700</v>
      </c>
      <c r="G5378" s="2" t="s">
        <v>667</v>
      </c>
      <c r="H5378" s="1" t="str">
        <f t="shared" si="178"/>
        <v>平成22年2月26日</v>
      </c>
      <c r="I5378" s="22">
        <f t="shared" si="177"/>
        <v>40235</v>
      </c>
      <c r="J5378" s="1" t="str">
        <f>"00739273"</f>
        <v>00739273</v>
      </c>
      <c r="K5378" s="1" t="str">
        <f>"２０６９　　　　　　　　　　　　　　　　"</f>
        <v>２０６９　　　　　　　　　　　　　　　　</v>
      </c>
      <c r="L5378" s="1"/>
    </row>
    <row r="5379" spans="1:12" ht="18" customHeight="1" x14ac:dyDescent="0.15">
      <c r="A5379" s="1">
        <v>1444</v>
      </c>
      <c r="B5379" s="1" t="s">
        <v>28</v>
      </c>
      <c r="C5379" s="1" t="s">
        <v>151</v>
      </c>
      <c r="D5379" s="1">
        <v>1</v>
      </c>
      <c r="E5379" s="1" t="s">
        <v>4</v>
      </c>
      <c r="F5379" s="2">
        <v>20700</v>
      </c>
      <c r="G5379" s="2" t="s">
        <v>667</v>
      </c>
      <c r="H5379" s="1" t="str">
        <f t="shared" si="178"/>
        <v>平成22年2月26日</v>
      </c>
      <c r="I5379" s="22">
        <f t="shared" si="177"/>
        <v>40235</v>
      </c>
      <c r="J5379" s="1" t="str">
        <f>"00739275"</f>
        <v>00739275</v>
      </c>
      <c r="K5379" s="1" t="str">
        <f>"２０７０　　　　　　　　　　　　　　　　"</f>
        <v>２０７０　　　　　　　　　　　　　　　　</v>
      </c>
      <c r="L5379" s="1"/>
    </row>
    <row r="5380" spans="1:12" ht="18" customHeight="1" x14ac:dyDescent="0.15">
      <c r="A5380" s="1">
        <v>1445</v>
      </c>
      <c r="B5380" s="1" t="s">
        <v>28</v>
      </c>
      <c r="C5380" s="1" t="s">
        <v>151</v>
      </c>
      <c r="D5380" s="1">
        <v>1</v>
      </c>
      <c r="E5380" s="1" t="s">
        <v>4</v>
      </c>
      <c r="F5380" s="2">
        <v>20700</v>
      </c>
      <c r="G5380" s="2" t="s">
        <v>667</v>
      </c>
      <c r="H5380" s="1" t="str">
        <f t="shared" si="178"/>
        <v>平成22年2月26日</v>
      </c>
      <c r="I5380" s="22">
        <f t="shared" si="177"/>
        <v>40235</v>
      </c>
      <c r="J5380" s="1" t="str">
        <f>"00739277"</f>
        <v>00739277</v>
      </c>
      <c r="K5380" s="1" t="str">
        <f>"２０７１　　　　　　　　　　　　　　　　"</f>
        <v>２０７１　　　　　　　　　　　　　　　　</v>
      </c>
      <c r="L5380" s="1"/>
    </row>
    <row r="5381" spans="1:12" ht="18" customHeight="1" x14ac:dyDescent="0.15">
      <c r="A5381" s="1">
        <v>1446</v>
      </c>
      <c r="B5381" s="1" t="s">
        <v>28</v>
      </c>
      <c r="C5381" s="1" t="s">
        <v>151</v>
      </c>
      <c r="D5381" s="1">
        <v>1</v>
      </c>
      <c r="E5381" s="1" t="s">
        <v>4</v>
      </c>
      <c r="F5381" s="2">
        <v>20700</v>
      </c>
      <c r="G5381" s="2" t="s">
        <v>667</v>
      </c>
      <c r="H5381" s="1" t="str">
        <f t="shared" si="178"/>
        <v>平成22年2月26日</v>
      </c>
      <c r="I5381" s="22">
        <f t="shared" si="177"/>
        <v>40235</v>
      </c>
      <c r="J5381" s="1" t="str">
        <f>"00739279"</f>
        <v>00739279</v>
      </c>
      <c r="K5381" s="1" t="str">
        <f>"２０７２　　　　　　　　　　　　　　　　"</f>
        <v>２０７２　　　　　　　　　　　　　　　　</v>
      </c>
      <c r="L5381" s="1"/>
    </row>
    <row r="5382" spans="1:12" ht="18" customHeight="1" x14ac:dyDescent="0.15">
      <c r="A5382" s="1">
        <v>1447</v>
      </c>
      <c r="B5382" s="1" t="s">
        <v>28</v>
      </c>
      <c r="C5382" s="1" t="s">
        <v>151</v>
      </c>
      <c r="D5382" s="1">
        <v>1</v>
      </c>
      <c r="E5382" s="1" t="s">
        <v>4</v>
      </c>
      <c r="F5382" s="2">
        <v>20700</v>
      </c>
      <c r="G5382" s="2" t="s">
        <v>667</v>
      </c>
      <c r="H5382" s="1" t="str">
        <f t="shared" si="178"/>
        <v>平成22年2月26日</v>
      </c>
      <c r="I5382" s="22">
        <f t="shared" si="177"/>
        <v>40235</v>
      </c>
      <c r="J5382" s="1" t="str">
        <f>"00739281"</f>
        <v>00739281</v>
      </c>
      <c r="K5382" s="1" t="str">
        <f>"２０７３　　　　　　　　　　　　　　　　"</f>
        <v>２０７３　　　　　　　　　　　　　　　　</v>
      </c>
      <c r="L5382" s="1"/>
    </row>
    <row r="5383" spans="1:12" ht="18" customHeight="1" x14ac:dyDescent="0.15">
      <c r="A5383" s="1">
        <v>1448</v>
      </c>
      <c r="B5383" s="1" t="s">
        <v>28</v>
      </c>
      <c r="C5383" s="1" t="s">
        <v>151</v>
      </c>
      <c r="D5383" s="1">
        <v>1</v>
      </c>
      <c r="E5383" s="1" t="s">
        <v>4</v>
      </c>
      <c r="F5383" s="2">
        <v>20700</v>
      </c>
      <c r="G5383" s="2" t="s">
        <v>667</v>
      </c>
      <c r="H5383" s="1" t="str">
        <f t="shared" si="178"/>
        <v>平成22年2月26日</v>
      </c>
      <c r="I5383" s="22">
        <f t="shared" si="177"/>
        <v>40235</v>
      </c>
      <c r="J5383" s="1" t="str">
        <f>"00739283"</f>
        <v>00739283</v>
      </c>
      <c r="K5383" s="1" t="str">
        <f>"２０７４　　　　　　　　　　　　　　　　"</f>
        <v>２０７４　　　　　　　　　　　　　　　　</v>
      </c>
      <c r="L5383" s="1"/>
    </row>
    <row r="5384" spans="1:12" ht="18" customHeight="1" x14ac:dyDescent="0.15">
      <c r="A5384" s="1">
        <v>1449</v>
      </c>
      <c r="B5384" s="1" t="s">
        <v>28</v>
      </c>
      <c r="C5384" s="1" t="s">
        <v>151</v>
      </c>
      <c r="D5384" s="1">
        <v>1</v>
      </c>
      <c r="E5384" s="1" t="s">
        <v>4</v>
      </c>
      <c r="F5384" s="2">
        <v>20700</v>
      </c>
      <c r="G5384" s="2" t="s">
        <v>667</v>
      </c>
      <c r="H5384" s="1" t="str">
        <f t="shared" si="178"/>
        <v>平成22年2月26日</v>
      </c>
      <c r="I5384" s="22">
        <f t="shared" si="177"/>
        <v>40235</v>
      </c>
      <c r="J5384" s="1" t="str">
        <f>"00739285"</f>
        <v>00739285</v>
      </c>
      <c r="K5384" s="1" t="str">
        <f>"２０７５　　　　　　　　　　　　　　　　"</f>
        <v>２０７５　　　　　　　　　　　　　　　　</v>
      </c>
      <c r="L5384" s="1"/>
    </row>
    <row r="5385" spans="1:12" ht="18" customHeight="1" x14ac:dyDescent="0.15">
      <c r="A5385" s="1">
        <v>1450</v>
      </c>
      <c r="B5385" s="1" t="s">
        <v>28</v>
      </c>
      <c r="C5385" s="1" t="s">
        <v>151</v>
      </c>
      <c r="D5385" s="1">
        <v>1</v>
      </c>
      <c r="E5385" s="1" t="s">
        <v>4</v>
      </c>
      <c r="F5385" s="2">
        <v>20700</v>
      </c>
      <c r="G5385" s="2" t="s">
        <v>667</v>
      </c>
      <c r="H5385" s="1" t="str">
        <f t="shared" si="178"/>
        <v>平成22年2月26日</v>
      </c>
      <c r="I5385" s="22">
        <f t="shared" si="177"/>
        <v>40235</v>
      </c>
      <c r="J5385" s="1" t="str">
        <f>"00739287"</f>
        <v>00739287</v>
      </c>
      <c r="K5385" s="1" t="str">
        <f>"２０７６　　　　　　　　　　　　　　　　"</f>
        <v>２０７６　　　　　　　　　　　　　　　　</v>
      </c>
      <c r="L5385" s="1"/>
    </row>
    <row r="5386" spans="1:12" ht="18" customHeight="1" x14ac:dyDescent="0.15">
      <c r="A5386" s="1">
        <v>1451</v>
      </c>
      <c r="B5386" s="1" t="s">
        <v>28</v>
      </c>
      <c r="C5386" s="1" t="s">
        <v>151</v>
      </c>
      <c r="D5386" s="1">
        <v>1</v>
      </c>
      <c r="E5386" s="1" t="s">
        <v>4</v>
      </c>
      <c r="F5386" s="2">
        <v>20700</v>
      </c>
      <c r="G5386" s="2" t="s">
        <v>667</v>
      </c>
      <c r="H5386" s="1" t="str">
        <f t="shared" si="178"/>
        <v>平成22年2月26日</v>
      </c>
      <c r="I5386" s="22">
        <f t="shared" si="177"/>
        <v>40235</v>
      </c>
      <c r="J5386" s="1" t="str">
        <f>"00739289"</f>
        <v>00739289</v>
      </c>
      <c r="K5386" s="1" t="str">
        <f>"２０７７　　　　　　　　　　　　　　　　"</f>
        <v>２０７７　　　　　　　　　　　　　　　　</v>
      </c>
      <c r="L5386" s="1"/>
    </row>
    <row r="5387" spans="1:12" ht="18" customHeight="1" x14ac:dyDescent="0.15">
      <c r="A5387" s="1">
        <v>1452</v>
      </c>
      <c r="B5387" s="1" t="s">
        <v>28</v>
      </c>
      <c r="C5387" s="1" t="s">
        <v>151</v>
      </c>
      <c r="D5387" s="1">
        <v>1</v>
      </c>
      <c r="E5387" s="1" t="s">
        <v>4</v>
      </c>
      <c r="F5387" s="2">
        <v>20700</v>
      </c>
      <c r="G5387" s="2" t="s">
        <v>667</v>
      </c>
      <c r="H5387" s="1" t="str">
        <f t="shared" si="178"/>
        <v>平成22年2月26日</v>
      </c>
      <c r="I5387" s="22">
        <f t="shared" si="177"/>
        <v>40235</v>
      </c>
      <c r="J5387" s="1" t="str">
        <f>"00739291"</f>
        <v>00739291</v>
      </c>
      <c r="K5387" s="1" t="str">
        <f>"２０７８　　　　　　　　　　　　　　　　"</f>
        <v>２０７８　　　　　　　　　　　　　　　　</v>
      </c>
      <c r="L5387" s="1"/>
    </row>
    <row r="5388" spans="1:12" ht="18" customHeight="1" x14ac:dyDescent="0.15">
      <c r="A5388" s="1">
        <v>1453</v>
      </c>
      <c r="B5388" s="1" t="s">
        <v>28</v>
      </c>
      <c r="C5388" s="1" t="s">
        <v>151</v>
      </c>
      <c r="D5388" s="1">
        <v>1</v>
      </c>
      <c r="E5388" s="1" t="s">
        <v>4</v>
      </c>
      <c r="F5388" s="2">
        <v>20700</v>
      </c>
      <c r="G5388" s="2" t="s">
        <v>667</v>
      </c>
      <c r="H5388" s="1" t="str">
        <f t="shared" si="178"/>
        <v>平成22年2月26日</v>
      </c>
      <c r="I5388" s="22">
        <f t="shared" si="177"/>
        <v>40235</v>
      </c>
      <c r="J5388" s="1" t="str">
        <f>"00739293"</f>
        <v>00739293</v>
      </c>
      <c r="K5388" s="1" t="str">
        <f>"２０７９　　　　　　　　　　　　　　　　"</f>
        <v>２０７９　　　　　　　　　　　　　　　　</v>
      </c>
      <c r="L5388" s="1"/>
    </row>
    <row r="5389" spans="1:12" ht="18" customHeight="1" x14ac:dyDescent="0.15">
      <c r="A5389" s="1">
        <v>1454</v>
      </c>
      <c r="B5389" s="1" t="s">
        <v>28</v>
      </c>
      <c r="C5389" s="1" t="s">
        <v>151</v>
      </c>
      <c r="D5389" s="1">
        <v>1</v>
      </c>
      <c r="E5389" s="1" t="s">
        <v>4</v>
      </c>
      <c r="F5389" s="2">
        <v>20700</v>
      </c>
      <c r="G5389" s="2" t="s">
        <v>667</v>
      </c>
      <c r="H5389" s="1" t="str">
        <f t="shared" si="178"/>
        <v>平成22年2月26日</v>
      </c>
      <c r="I5389" s="22">
        <f t="shared" si="177"/>
        <v>40235</v>
      </c>
      <c r="J5389" s="1" t="str">
        <f>"00739295"</f>
        <v>00739295</v>
      </c>
      <c r="K5389" s="1" t="str">
        <f>"２０８０　　　　　　　　　　　　　　　　"</f>
        <v>２０８０　　　　　　　　　　　　　　　　</v>
      </c>
      <c r="L5389" s="1"/>
    </row>
    <row r="5390" spans="1:12" ht="18" customHeight="1" x14ac:dyDescent="0.15">
      <c r="A5390" s="1">
        <v>1455</v>
      </c>
      <c r="B5390" s="1" t="s">
        <v>28</v>
      </c>
      <c r="C5390" s="1" t="s">
        <v>151</v>
      </c>
      <c r="D5390" s="1">
        <v>1</v>
      </c>
      <c r="E5390" s="1" t="s">
        <v>4</v>
      </c>
      <c r="F5390" s="2">
        <v>20700</v>
      </c>
      <c r="G5390" s="2" t="s">
        <v>667</v>
      </c>
      <c r="H5390" s="1" t="str">
        <f t="shared" si="178"/>
        <v>平成22年2月26日</v>
      </c>
      <c r="I5390" s="22">
        <f t="shared" si="177"/>
        <v>40235</v>
      </c>
      <c r="J5390" s="1" t="str">
        <f>"00739297"</f>
        <v>00739297</v>
      </c>
      <c r="K5390" s="1" t="str">
        <f>"２０８１　　　　　　　　　　　　　　　　"</f>
        <v>２０８１　　　　　　　　　　　　　　　　</v>
      </c>
      <c r="L5390" s="1"/>
    </row>
    <row r="5391" spans="1:12" ht="18" customHeight="1" x14ac:dyDescent="0.15">
      <c r="A5391" s="1">
        <v>1456</v>
      </c>
      <c r="B5391" s="1" t="s">
        <v>28</v>
      </c>
      <c r="C5391" s="1" t="s">
        <v>151</v>
      </c>
      <c r="D5391" s="1">
        <v>1</v>
      </c>
      <c r="E5391" s="1" t="s">
        <v>4</v>
      </c>
      <c r="F5391" s="2">
        <v>20700</v>
      </c>
      <c r="G5391" s="2" t="s">
        <v>667</v>
      </c>
      <c r="H5391" s="1" t="str">
        <f t="shared" si="178"/>
        <v>平成22年2月26日</v>
      </c>
      <c r="I5391" s="22">
        <f t="shared" si="177"/>
        <v>40235</v>
      </c>
      <c r="J5391" s="1" t="str">
        <f>"00739299"</f>
        <v>00739299</v>
      </c>
      <c r="K5391" s="1" t="str">
        <f>"２０８２　　　　　　　　　　　　　　　　"</f>
        <v>２０８２　　　　　　　　　　　　　　　　</v>
      </c>
      <c r="L5391" s="1"/>
    </row>
    <row r="5392" spans="1:12" ht="18" customHeight="1" x14ac:dyDescent="0.15">
      <c r="A5392" s="1">
        <v>1457</v>
      </c>
      <c r="B5392" s="1" t="s">
        <v>28</v>
      </c>
      <c r="C5392" s="1" t="s">
        <v>151</v>
      </c>
      <c r="D5392" s="1">
        <v>1</v>
      </c>
      <c r="E5392" s="1" t="s">
        <v>4</v>
      </c>
      <c r="F5392" s="2">
        <v>20700</v>
      </c>
      <c r="G5392" s="2" t="s">
        <v>667</v>
      </c>
      <c r="H5392" s="1" t="str">
        <f t="shared" si="178"/>
        <v>平成22年2月26日</v>
      </c>
      <c r="I5392" s="22">
        <f t="shared" si="177"/>
        <v>40235</v>
      </c>
      <c r="J5392" s="1" t="str">
        <f>"00739301"</f>
        <v>00739301</v>
      </c>
      <c r="K5392" s="1" t="str">
        <f>"２０８３　　　　　　　　　　　　　　　　"</f>
        <v>２０８３　　　　　　　　　　　　　　　　</v>
      </c>
      <c r="L5392" s="1"/>
    </row>
    <row r="5393" spans="1:12" ht="18" customHeight="1" x14ac:dyDescent="0.15">
      <c r="A5393" s="1">
        <v>1458</v>
      </c>
      <c r="B5393" s="1" t="s">
        <v>28</v>
      </c>
      <c r="C5393" s="1" t="s">
        <v>151</v>
      </c>
      <c r="D5393" s="1">
        <v>1</v>
      </c>
      <c r="E5393" s="1" t="s">
        <v>4</v>
      </c>
      <c r="F5393" s="2">
        <v>20700</v>
      </c>
      <c r="G5393" s="2" t="s">
        <v>667</v>
      </c>
      <c r="H5393" s="1" t="str">
        <f t="shared" si="178"/>
        <v>平成22年2月26日</v>
      </c>
      <c r="I5393" s="22">
        <f t="shared" si="177"/>
        <v>40235</v>
      </c>
      <c r="J5393" s="1" t="str">
        <f>"00739303"</f>
        <v>00739303</v>
      </c>
      <c r="K5393" s="1" t="str">
        <f>"２０８４　　　　　　　　　　　　　　　　"</f>
        <v>２０８４　　　　　　　　　　　　　　　　</v>
      </c>
      <c r="L5393" s="1"/>
    </row>
    <row r="5394" spans="1:12" ht="18" customHeight="1" x14ac:dyDescent="0.15">
      <c r="A5394" s="1">
        <v>1459</v>
      </c>
      <c r="B5394" s="1" t="s">
        <v>28</v>
      </c>
      <c r="C5394" s="1" t="s">
        <v>151</v>
      </c>
      <c r="D5394" s="1">
        <v>1</v>
      </c>
      <c r="E5394" s="1" t="s">
        <v>4</v>
      </c>
      <c r="F5394" s="2">
        <v>20700</v>
      </c>
      <c r="G5394" s="2" t="s">
        <v>667</v>
      </c>
      <c r="H5394" s="1" t="str">
        <f t="shared" si="178"/>
        <v>平成22年2月26日</v>
      </c>
      <c r="I5394" s="22">
        <f t="shared" si="177"/>
        <v>40235</v>
      </c>
      <c r="J5394" s="1" t="str">
        <f>"00739305"</f>
        <v>00739305</v>
      </c>
      <c r="K5394" s="1" t="str">
        <f>"２０８５　　　　　　　　　　　　　　　　"</f>
        <v>２０８５　　　　　　　　　　　　　　　　</v>
      </c>
      <c r="L5394" s="1"/>
    </row>
    <row r="5395" spans="1:12" ht="18" customHeight="1" x14ac:dyDescent="0.15">
      <c r="A5395" s="1">
        <v>1460</v>
      </c>
      <c r="B5395" s="1" t="s">
        <v>28</v>
      </c>
      <c r="C5395" s="1" t="s">
        <v>151</v>
      </c>
      <c r="D5395" s="1">
        <v>1</v>
      </c>
      <c r="E5395" s="1" t="s">
        <v>4</v>
      </c>
      <c r="F5395" s="2">
        <v>20700</v>
      </c>
      <c r="G5395" s="2" t="s">
        <v>667</v>
      </c>
      <c r="H5395" s="1" t="str">
        <f t="shared" si="178"/>
        <v>平成22年2月26日</v>
      </c>
      <c r="I5395" s="22">
        <f t="shared" si="177"/>
        <v>40235</v>
      </c>
      <c r="J5395" s="1" t="str">
        <f>"00739307"</f>
        <v>00739307</v>
      </c>
      <c r="K5395" s="1" t="str">
        <f>"２０８６　　　　　　　　　　　　　　　　"</f>
        <v>２０８６　　　　　　　　　　　　　　　　</v>
      </c>
      <c r="L5395" s="1"/>
    </row>
    <row r="5396" spans="1:12" ht="18" customHeight="1" x14ac:dyDescent="0.15">
      <c r="A5396" s="1">
        <v>1461</v>
      </c>
      <c r="B5396" s="1" t="s">
        <v>28</v>
      </c>
      <c r="C5396" s="1" t="s">
        <v>151</v>
      </c>
      <c r="D5396" s="1">
        <v>1</v>
      </c>
      <c r="E5396" s="1" t="s">
        <v>4</v>
      </c>
      <c r="F5396" s="2">
        <v>20700</v>
      </c>
      <c r="G5396" s="2" t="s">
        <v>667</v>
      </c>
      <c r="H5396" s="1" t="str">
        <f t="shared" si="178"/>
        <v>平成22年2月26日</v>
      </c>
      <c r="I5396" s="22">
        <f t="shared" si="177"/>
        <v>40235</v>
      </c>
      <c r="J5396" s="1" t="str">
        <f>"00739309"</f>
        <v>00739309</v>
      </c>
      <c r="K5396" s="1" t="str">
        <f>"２０８７　　　　　　　　　　　　　　　　"</f>
        <v>２０８７　　　　　　　　　　　　　　　　</v>
      </c>
      <c r="L5396" s="1"/>
    </row>
    <row r="5397" spans="1:12" ht="18" customHeight="1" x14ac:dyDescent="0.15">
      <c r="A5397" s="1">
        <v>1462</v>
      </c>
      <c r="B5397" s="1" t="s">
        <v>28</v>
      </c>
      <c r="C5397" s="1" t="s">
        <v>151</v>
      </c>
      <c r="D5397" s="1">
        <v>1</v>
      </c>
      <c r="E5397" s="1" t="s">
        <v>4</v>
      </c>
      <c r="F5397" s="2">
        <v>20700</v>
      </c>
      <c r="G5397" s="2" t="s">
        <v>667</v>
      </c>
      <c r="H5397" s="1" t="str">
        <f t="shared" si="178"/>
        <v>平成22年2月26日</v>
      </c>
      <c r="I5397" s="22">
        <f t="shared" si="177"/>
        <v>40235</v>
      </c>
      <c r="J5397" s="1" t="str">
        <f>"00739311"</f>
        <v>00739311</v>
      </c>
      <c r="K5397" s="1" t="str">
        <f>"２０８８　　　　　　　　　　　　　　　　"</f>
        <v>２０８８　　　　　　　　　　　　　　　　</v>
      </c>
      <c r="L5397" s="1"/>
    </row>
    <row r="5398" spans="1:12" ht="18" customHeight="1" x14ac:dyDescent="0.15">
      <c r="A5398" s="1">
        <v>1463</v>
      </c>
      <c r="B5398" s="1" t="s">
        <v>28</v>
      </c>
      <c r="C5398" s="1" t="s">
        <v>151</v>
      </c>
      <c r="D5398" s="1">
        <v>1</v>
      </c>
      <c r="E5398" s="1" t="s">
        <v>4</v>
      </c>
      <c r="F5398" s="2">
        <v>20700</v>
      </c>
      <c r="G5398" s="2" t="s">
        <v>667</v>
      </c>
      <c r="H5398" s="1" t="str">
        <f t="shared" si="178"/>
        <v>平成22年2月26日</v>
      </c>
      <c r="I5398" s="22">
        <f t="shared" si="177"/>
        <v>40235</v>
      </c>
      <c r="J5398" s="1" t="str">
        <f>"00739313"</f>
        <v>00739313</v>
      </c>
      <c r="K5398" s="1" t="str">
        <f>"２０８９　　　　　　　　　　　　　　　　"</f>
        <v>２０８９　　　　　　　　　　　　　　　　</v>
      </c>
      <c r="L5398" s="1"/>
    </row>
    <row r="5399" spans="1:12" ht="18" customHeight="1" x14ac:dyDescent="0.15">
      <c r="A5399" s="1">
        <v>1464</v>
      </c>
      <c r="B5399" s="1" t="s">
        <v>28</v>
      </c>
      <c r="C5399" s="1" t="s">
        <v>151</v>
      </c>
      <c r="D5399" s="1">
        <v>1</v>
      </c>
      <c r="E5399" s="1" t="s">
        <v>4</v>
      </c>
      <c r="F5399" s="2">
        <v>20700</v>
      </c>
      <c r="G5399" s="2" t="s">
        <v>667</v>
      </c>
      <c r="H5399" s="1" t="str">
        <f t="shared" si="178"/>
        <v>平成22年2月26日</v>
      </c>
      <c r="I5399" s="22">
        <f t="shared" si="177"/>
        <v>40235</v>
      </c>
      <c r="J5399" s="1" t="str">
        <f>"00739315"</f>
        <v>00739315</v>
      </c>
      <c r="K5399" s="1" t="str">
        <f>"２０９０　　　　　　　　　　　　　　　　"</f>
        <v>２０９０　　　　　　　　　　　　　　　　</v>
      </c>
      <c r="L5399" s="1"/>
    </row>
    <row r="5400" spans="1:12" ht="18" customHeight="1" x14ac:dyDescent="0.15">
      <c r="A5400" s="1">
        <v>1465</v>
      </c>
      <c r="B5400" s="1" t="s">
        <v>28</v>
      </c>
      <c r="C5400" s="1" t="s">
        <v>151</v>
      </c>
      <c r="D5400" s="1">
        <v>1</v>
      </c>
      <c r="E5400" s="1" t="s">
        <v>4</v>
      </c>
      <c r="F5400" s="2">
        <v>20700</v>
      </c>
      <c r="G5400" s="2" t="s">
        <v>667</v>
      </c>
      <c r="H5400" s="1" t="str">
        <f t="shared" si="178"/>
        <v>平成22年2月26日</v>
      </c>
      <c r="I5400" s="22">
        <f t="shared" si="177"/>
        <v>40235</v>
      </c>
      <c r="J5400" s="1" t="str">
        <f>"00739317"</f>
        <v>00739317</v>
      </c>
      <c r="K5400" s="1" t="str">
        <f>"２０９１　　　　　　　　　　　　　　　　"</f>
        <v>２０９１　　　　　　　　　　　　　　　　</v>
      </c>
      <c r="L5400" s="1"/>
    </row>
    <row r="5401" spans="1:12" ht="18" customHeight="1" x14ac:dyDescent="0.15">
      <c r="A5401" s="1">
        <v>1466</v>
      </c>
      <c r="B5401" s="1" t="s">
        <v>28</v>
      </c>
      <c r="C5401" s="1" t="s">
        <v>151</v>
      </c>
      <c r="D5401" s="1">
        <v>1</v>
      </c>
      <c r="E5401" s="1" t="s">
        <v>4</v>
      </c>
      <c r="F5401" s="2">
        <v>20700</v>
      </c>
      <c r="G5401" s="2" t="s">
        <v>667</v>
      </c>
      <c r="H5401" s="1" t="str">
        <f t="shared" si="178"/>
        <v>平成22年2月26日</v>
      </c>
      <c r="I5401" s="22">
        <f t="shared" si="177"/>
        <v>40235</v>
      </c>
      <c r="J5401" s="1" t="str">
        <f>"00739319"</f>
        <v>00739319</v>
      </c>
      <c r="K5401" s="1" t="str">
        <f>"２０９２　　　　　　　　　　　　　　　　"</f>
        <v>２０９２　　　　　　　　　　　　　　　　</v>
      </c>
      <c r="L5401" s="1"/>
    </row>
    <row r="5402" spans="1:12" ht="18" customHeight="1" x14ac:dyDescent="0.15">
      <c r="A5402" s="1">
        <v>1467</v>
      </c>
      <c r="B5402" s="1" t="s">
        <v>28</v>
      </c>
      <c r="C5402" s="1" t="s">
        <v>151</v>
      </c>
      <c r="D5402" s="1">
        <v>1</v>
      </c>
      <c r="E5402" s="1" t="s">
        <v>4</v>
      </c>
      <c r="F5402" s="2">
        <v>20700</v>
      </c>
      <c r="G5402" s="2" t="s">
        <v>667</v>
      </c>
      <c r="H5402" s="1" t="str">
        <f t="shared" si="178"/>
        <v>平成22年2月26日</v>
      </c>
      <c r="I5402" s="22">
        <f t="shared" ref="I5402:I5465" si="179">DATEVALUE(H5402)</f>
        <v>40235</v>
      </c>
      <c r="J5402" s="1" t="str">
        <f>"00739321"</f>
        <v>00739321</v>
      </c>
      <c r="K5402" s="1" t="str">
        <f>"２０９３　　　　　　　　　　　　　　　　"</f>
        <v>２０９３　　　　　　　　　　　　　　　　</v>
      </c>
      <c r="L5402" s="1"/>
    </row>
    <row r="5403" spans="1:12" ht="18" customHeight="1" x14ac:dyDescent="0.15">
      <c r="A5403" s="1">
        <v>1468</v>
      </c>
      <c r="B5403" s="1" t="s">
        <v>28</v>
      </c>
      <c r="C5403" s="1" t="s">
        <v>151</v>
      </c>
      <c r="D5403" s="1">
        <v>1</v>
      </c>
      <c r="E5403" s="1" t="s">
        <v>4</v>
      </c>
      <c r="F5403" s="2">
        <v>20700</v>
      </c>
      <c r="G5403" s="2" t="s">
        <v>667</v>
      </c>
      <c r="H5403" s="1" t="str">
        <f t="shared" si="178"/>
        <v>平成22年2月26日</v>
      </c>
      <c r="I5403" s="22">
        <f t="shared" si="179"/>
        <v>40235</v>
      </c>
      <c r="J5403" s="1" t="str">
        <f>"00739323"</f>
        <v>00739323</v>
      </c>
      <c r="K5403" s="1" t="str">
        <f>"２０９４　　　　　　　　　　　　　　　　"</f>
        <v>２０９４　　　　　　　　　　　　　　　　</v>
      </c>
      <c r="L5403" s="1"/>
    </row>
    <row r="5404" spans="1:12" ht="18" customHeight="1" x14ac:dyDescent="0.15">
      <c r="A5404" s="1">
        <v>1469</v>
      </c>
      <c r="B5404" s="1" t="s">
        <v>28</v>
      </c>
      <c r="C5404" s="1" t="s">
        <v>151</v>
      </c>
      <c r="D5404" s="1">
        <v>1</v>
      </c>
      <c r="E5404" s="1" t="s">
        <v>4</v>
      </c>
      <c r="F5404" s="2">
        <v>20700</v>
      </c>
      <c r="G5404" s="2" t="s">
        <v>667</v>
      </c>
      <c r="H5404" s="1" t="str">
        <f t="shared" si="178"/>
        <v>平成22年2月26日</v>
      </c>
      <c r="I5404" s="22">
        <f t="shared" si="179"/>
        <v>40235</v>
      </c>
      <c r="J5404" s="1" t="str">
        <f>"00739325"</f>
        <v>00739325</v>
      </c>
      <c r="K5404" s="1" t="str">
        <f>"２０９５　　　　　　　　　　　　　　　　"</f>
        <v>２０９５　　　　　　　　　　　　　　　　</v>
      </c>
      <c r="L5404" s="1"/>
    </row>
    <row r="5405" spans="1:12" ht="18" customHeight="1" x14ac:dyDescent="0.15">
      <c r="A5405" s="1">
        <v>1470</v>
      </c>
      <c r="B5405" s="1" t="s">
        <v>28</v>
      </c>
      <c r="C5405" s="1" t="s">
        <v>151</v>
      </c>
      <c r="D5405" s="1">
        <v>1</v>
      </c>
      <c r="E5405" s="1" t="s">
        <v>4</v>
      </c>
      <c r="F5405" s="2">
        <v>20700</v>
      </c>
      <c r="G5405" s="2" t="s">
        <v>667</v>
      </c>
      <c r="H5405" s="1" t="str">
        <f t="shared" si="178"/>
        <v>平成22年2月26日</v>
      </c>
      <c r="I5405" s="22">
        <f t="shared" si="179"/>
        <v>40235</v>
      </c>
      <c r="J5405" s="1" t="str">
        <f>"00739327"</f>
        <v>00739327</v>
      </c>
      <c r="K5405" s="1" t="str">
        <f>"２０９６　　　　　　　　　　　　　　　　"</f>
        <v>２０９６　　　　　　　　　　　　　　　　</v>
      </c>
      <c r="L5405" s="1"/>
    </row>
    <row r="5406" spans="1:12" ht="18" customHeight="1" x14ac:dyDescent="0.15">
      <c r="A5406" s="1">
        <v>1471</v>
      </c>
      <c r="B5406" s="1" t="s">
        <v>28</v>
      </c>
      <c r="C5406" s="1" t="s">
        <v>151</v>
      </c>
      <c r="D5406" s="1">
        <v>1</v>
      </c>
      <c r="E5406" s="1" t="s">
        <v>4</v>
      </c>
      <c r="F5406" s="2">
        <v>20700</v>
      </c>
      <c r="G5406" s="2" t="s">
        <v>667</v>
      </c>
      <c r="H5406" s="1" t="str">
        <f t="shared" si="178"/>
        <v>平成22年2月26日</v>
      </c>
      <c r="I5406" s="22">
        <f t="shared" si="179"/>
        <v>40235</v>
      </c>
      <c r="J5406" s="1" t="str">
        <f>"00739329"</f>
        <v>00739329</v>
      </c>
      <c r="K5406" s="1" t="str">
        <f>"２０９７　　　　　　　　　　　　　　　　"</f>
        <v>２０９７　　　　　　　　　　　　　　　　</v>
      </c>
      <c r="L5406" s="1"/>
    </row>
    <row r="5407" spans="1:12" ht="18" customHeight="1" x14ac:dyDescent="0.15">
      <c r="A5407" s="1">
        <v>1472</v>
      </c>
      <c r="B5407" s="1" t="s">
        <v>28</v>
      </c>
      <c r="C5407" s="1" t="s">
        <v>151</v>
      </c>
      <c r="D5407" s="1">
        <v>1</v>
      </c>
      <c r="E5407" s="1" t="s">
        <v>4</v>
      </c>
      <c r="F5407" s="2">
        <v>20700</v>
      </c>
      <c r="G5407" s="2" t="s">
        <v>667</v>
      </c>
      <c r="H5407" s="1" t="str">
        <f t="shared" si="178"/>
        <v>平成22年2月26日</v>
      </c>
      <c r="I5407" s="22">
        <f t="shared" si="179"/>
        <v>40235</v>
      </c>
      <c r="J5407" s="1" t="str">
        <f>"00739331"</f>
        <v>00739331</v>
      </c>
      <c r="K5407" s="1" t="str">
        <f>"２０９８　　　　　　　　　　　　　　　　"</f>
        <v>２０９８　　　　　　　　　　　　　　　　</v>
      </c>
      <c r="L5407" s="1"/>
    </row>
    <row r="5408" spans="1:12" ht="18" customHeight="1" x14ac:dyDescent="0.15">
      <c r="A5408" s="1">
        <v>1473</v>
      </c>
      <c r="B5408" s="1" t="s">
        <v>28</v>
      </c>
      <c r="C5408" s="1" t="s">
        <v>151</v>
      </c>
      <c r="D5408" s="1">
        <v>1</v>
      </c>
      <c r="E5408" s="1" t="s">
        <v>4</v>
      </c>
      <c r="F5408" s="2">
        <v>20700</v>
      </c>
      <c r="G5408" s="2" t="s">
        <v>667</v>
      </c>
      <c r="H5408" s="1" t="str">
        <f t="shared" si="178"/>
        <v>平成22年2月26日</v>
      </c>
      <c r="I5408" s="22">
        <f t="shared" si="179"/>
        <v>40235</v>
      </c>
      <c r="J5408" s="1" t="str">
        <f>"00739333"</f>
        <v>00739333</v>
      </c>
      <c r="K5408" s="1" t="str">
        <f>"２０９９　　　　　　　　　　　　　　　　"</f>
        <v>２０９９　　　　　　　　　　　　　　　　</v>
      </c>
      <c r="L5408" s="1"/>
    </row>
    <row r="5409" spans="1:12" ht="18" customHeight="1" x14ac:dyDescent="0.15">
      <c r="A5409" s="1">
        <v>1474</v>
      </c>
      <c r="B5409" s="1" t="s">
        <v>28</v>
      </c>
      <c r="C5409" s="1" t="s">
        <v>151</v>
      </c>
      <c r="D5409" s="1">
        <v>1</v>
      </c>
      <c r="E5409" s="1" t="s">
        <v>4</v>
      </c>
      <c r="F5409" s="2">
        <v>20700</v>
      </c>
      <c r="G5409" s="2" t="s">
        <v>667</v>
      </c>
      <c r="H5409" s="1" t="str">
        <f t="shared" si="178"/>
        <v>平成22年2月26日</v>
      </c>
      <c r="I5409" s="22">
        <f t="shared" si="179"/>
        <v>40235</v>
      </c>
      <c r="J5409" s="1" t="str">
        <f>"00739334"</f>
        <v>00739334</v>
      </c>
      <c r="K5409" s="1" t="str">
        <f>"２１００　　　　　　　　　　　　　　　　"</f>
        <v>２１００　　　　　　　　　　　　　　　　</v>
      </c>
      <c r="L5409" s="1"/>
    </row>
    <row r="5410" spans="1:12" ht="18" customHeight="1" x14ac:dyDescent="0.15">
      <c r="A5410" s="1">
        <v>1475</v>
      </c>
      <c r="B5410" s="1" t="s">
        <v>28</v>
      </c>
      <c r="C5410" s="1" t="s">
        <v>151</v>
      </c>
      <c r="D5410" s="1">
        <v>1</v>
      </c>
      <c r="E5410" s="1" t="s">
        <v>4</v>
      </c>
      <c r="F5410" s="2">
        <v>20700</v>
      </c>
      <c r="G5410" s="2" t="s">
        <v>667</v>
      </c>
      <c r="H5410" s="1" t="str">
        <f t="shared" si="178"/>
        <v>平成22年2月26日</v>
      </c>
      <c r="I5410" s="22">
        <f t="shared" si="179"/>
        <v>40235</v>
      </c>
      <c r="J5410" s="1" t="str">
        <f>"00739336"</f>
        <v>00739336</v>
      </c>
      <c r="K5410" s="1" t="str">
        <f>"２１０１　　　　　　　　　　　　　　　　"</f>
        <v>２１０１　　　　　　　　　　　　　　　　</v>
      </c>
      <c r="L5410" s="1"/>
    </row>
    <row r="5411" spans="1:12" ht="18" customHeight="1" x14ac:dyDescent="0.15">
      <c r="A5411" s="1">
        <v>1476</v>
      </c>
      <c r="B5411" s="1" t="s">
        <v>28</v>
      </c>
      <c r="C5411" s="1" t="s">
        <v>151</v>
      </c>
      <c r="D5411" s="1">
        <v>1</v>
      </c>
      <c r="E5411" s="1" t="s">
        <v>4</v>
      </c>
      <c r="F5411" s="2">
        <v>20700</v>
      </c>
      <c r="G5411" s="2" t="s">
        <v>667</v>
      </c>
      <c r="H5411" s="1" t="str">
        <f t="shared" si="178"/>
        <v>平成22年2月26日</v>
      </c>
      <c r="I5411" s="22">
        <f t="shared" si="179"/>
        <v>40235</v>
      </c>
      <c r="J5411" s="1" t="str">
        <f>"00739338"</f>
        <v>00739338</v>
      </c>
      <c r="K5411" s="1" t="str">
        <f>"２１０２　　　　　　　　　　　　　　　　"</f>
        <v>２１０２　　　　　　　　　　　　　　　　</v>
      </c>
      <c r="L5411" s="1"/>
    </row>
    <row r="5412" spans="1:12" ht="18" customHeight="1" x14ac:dyDescent="0.15">
      <c r="A5412" s="1">
        <v>1477</v>
      </c>
      <c r="B5412" s="1" t="s">
        <v>28</v>
      </c>
      <c r="C5412" s="1" t="s">
        <v>151</v>
      </c>
      <c r="D5412" s="1">
        <v>1</v>
      </c>
      <c r="E5412" s="1" t="s">
        <v>4</v>
      </c>
      <c r="F5412" s="2">
        <v>20700</v>
      </c>
      <c r="G5412" s="2" t="s">
        <v>667</v>
      </c>
      <c r="H5412" s="1" t="str">
        <f t="shared" si="178"/>
        <v>平成22年2月26日</v>
      </c>
      <c r="I5412" s="22">
        <f t="shared" si="179"/>
        <v>40235</v>
      </c>
      <c r="J5412" s="1" t="str">
        <f>"00739340"</f>
        <v>00739340</v>
      </c>
      <c r="K5412" s="1" t="str">
        <f>"２１０３　　　　　　　　　　　　　　　　"</f>
        <v>２１０３　　　　　　　　　　　　　　　　</v>
      </c>
      <c r="L5412" s="1"/>
    </row>
    <row r="5413" spans="1:12" ht="18" customHeight="1" x14ac:dyDescent="0.15">
      <c r="A5413" s="1">
        <v>1478</v>
      </c>
      <c r="B5413" s="1" t="s">
        <v>28</v>
      </c>
      <c r="C5413" s="1" t="s">
        <v>151</v>
      </c>
      <c r="D5413" s="1">
        <v>1</v>
      </c>
      <c r="E5413" s="1" t="s">
        <v>4</v>
      </c>
      <c r="F5413" s="2">
        <v>20700</v>
      </c>
      <c r="G5413" s="2" t="s">
        <v>667</v>
      </c>
      <c r="H5413" s="1" t="str">
        <f t="shared" ref="H5413:H5476" si="180">"平成22年2月26日"</f>
        <v>平成22年2月26日</v>
      </c>
      <c r="I5413" s="22">
        <f t="shared" si="179"/>
        <v>40235</v>
      </c>
      <c r="J5413" s="1" t="str">
        <f>"00739343"</f>
        <v>00739343</v>
      </c>
      <c r="K5413" s="1" t="str">
        <f>"２１０４　　　　　　　　　　　　　　　　"</f>
        <v>２１０４　　　　　　　　　　　　　　　　</v>
      </c>
      <c r="L5413" s="1"/>
    </row>
    <row r="5414" spans="1:12" ht="18" customHeight="1" x14ac:dyDescent="0.15">
      <c r="A5414" s="1">
        <v>1479</v>
      </c>
      <c r="B5414" s="1" t="s">
        <v>28</v>
      </c>
      <c r="C5414" s="1" t="s">
        <v>151</v>
      </c>
      <c r="D5414" s="1">
        <v>1</v>
      </c>
      <c r="E5414" s="1" t="s">
        <v>4</v>
      </c>
      <c r="F5414" s="2">
        <v>20700</v>
      </c>
      <c r="G5414" s="2" t="s">
        <v>667</v>
      </c>
      <c r="H5414" s="1" t="str">
        <f t="shared" si="180"/>
        <v>平成22年2月26日</v>
      </c>
      <c r="I5414" s="22">
        <f t="shared" si="179"/>
        <v>40235</v>
      </c>
      <c r="J5414" s="1" t="str">
        <f>"00739345"</f>
        <v>00739345</v>
      </c>
      <c r="K5414" s="1" t="str">
        <f>"２１０５　　　　　　　　　　　　　　　　"</f>
        <v>２１０５　　　　　　　　　　　　　　　　</v>
      </c>
      <c r="L5414" s="1"/>
    </row>
    <row r="5415" spans="1:12" ht="18" customHeight="1" x14ac:dyDescent="0.15">
      <c r="A5415" s="1">
        <v>1480</v>
      </c>
      <c r="B5415" s="1" t="s">
        <v>28</v>
      </c>
      <c r="C5415" s="1" t="s">
        <v>151</v>
      </c>
      <c r="D5415" s="1">
        <v>1</v>
      </c>
      <c r="E5415" s="1" t="s">
        <v>4</v>
      </c>
      <c r="F5415" s="2">
        <v>20700</v>
      </c>
      <c r="G5415" s="2" t="s">
        <v>667</v>
      </c>
      <c r="H5415" s="1" t="str">
        <f t="shared" si="180"/>
        <v>平成22年2月26日</v>
      </c>
      <c r="I5415" s="22">
        <f t="shared" si="179"/>
        <v>40235</v>
      </c>
      <c r="J5415" s="1" t="str">
        <f>"00739347"</f>
        <v>00739347</v>
      </c>
      <c r="K5415" s="1" t="str">
        <f>"２１０６　　　　　　　　　　　　　　　　"</f>
        <v>２１０６　　　　　　　　　　　　　　　　</v>
      </c>
      <c r="L5415" s="1"/>
    </row>
    <row r="5416" spans="1:12" ht="18" customHeight="1" x14ac:dyDescent="0.15">
      <c r="A5416" s="1">
        <v>1481</v>
      </c>
      <c r="B5416" s="1" t="s">
        <v>28</v>
      </c>
      <c r="C5416" s="1" t="s">
        <v>151</v>
      </c>
      <c r="D5416" s="1">
        <v>1</v>
      </c>
      <c r="E5416" s="1" t="s">
        <v>4</v>
      </c>
      <c r="F5416" s="2">
        <v>20700</v>
      </c>
      <c r="G5416" s="2" t="s">
        <v>667</v>
      </c>
      <c r="H5416" s="1" t="str">
        <f t="shared" si="180"/>
        <v>平成22年2月26日</v>
      </c>
      <c r="I5416" s="22">
        <f t="shared" si="179"/>
        <v>40235</v>
      </c>
      <c r="J5416" s="1" t="str">
        <f>"00739349"</f>
        <v>00739349</v>
      </c>
      <c r="K5416" s="1" t="str">
        <f>"２１０７　　　　　　　　　　　　　　　　"</f>
        <v>２１０７　　　　　　　　　　　　　　　　</v>
      </c>
      <c r="L5416" s="1"/>
    </row>
    <row r="5417" spans="1:12" ht="18" customHeight="1" x14ac:dyDescent="0.15">
      <c r="A5417" s="1">
        <v>1482</v>
      </c>
      <c r="B5417" s="1" t="s">
        <v>28</v>
      </c>
      <c r="C5417" s="1" t="s">
        <v>151</v>
      </c>
      <c r="D5417" s="1">
        <v>1</v>
      </c>
      <c r="E5417" s="1" t="s">
        <v>4</v>
      </c>
      <c r="F5417" s="2">
        <v>20700</v>
      </c>
      <c r="G5417" s="2" t="s">
        <v>667</v>
      </c>
      <c r="H5417" s="1" t="str">
        <f t="shared" si="180"/>
        <v>平成22年2月26日</v>
      </c>
      <c r="I5417" s="22">
        <f t="shared" si="179"/>
        <v>40235</v>
      </c>
      <c r="J5417" s="1" t="str">
        <f>"00739351"</f>
        <v>00739351</v>
      </c>
      <c r="K5417" s="1" t="str">
        <f>"２１０８　　　　　　　　　　　　　　　　"</f>
        <v>２１０８　　　　　　　　　　　　　　　　</v>
      </c>
      <c r="L5417" s="1"/>
    </row>
    <row r="5418" spans="1:12" ht="18" customHeight="1" x14ac:dyDescent="0.15">
      <c r="A5418" s="1">
        <v>1483</v>
      </c>
      <c r="B5418" s="1" t="s">
        <v>28</v>
      </c>
      <c r="C5418" s="1" t="s">
        <v>151</v>
      </c>
      <c r="D5418" s="1">
        <v>1</v>
      </c>
      <c r="E5418" s="1" t="s">
        <v>4</v>
      </c>
      <c r="F5418" s="2">
        <v>20700</v>
      </c>
      <c r="G5418" s="2" t="s">
        <v>667</v>
      </c>
      <c r="H5418" s="1" t="str">
        <f t="shared" si="180"/>
        <v>平成22年2月26日</v>
      </c>
      <c r="I5418" s="22">
        <f t="shared" si="179"/>
        <v>40235</v>
      </c>
      <c r="J5418" s="1" t="str">
        <f>"00739353"</f>
        <v>00739353</v>
      </c>
      <c r="K5418" s="1" t="str">
        <f>"２１０９　　　　　　　　　　　　　　　　"</f>
        <v>２１０９　　　　　　　　　　　　　　　　</v>
      </c>
      <c r="L5418" s="1"/>
    </row>
    <row r="5419" spans="1:12" ht="18" customHeight="1" x14ac:dyDescent="0.15">
      <c r="A5419" s="1">
        <v>1484</v>
      </c>
      <c r="B5419" s="1" t="s">
        <v>28</v>
      </c>
      <c r="C5419" s="1" t="s">
        <v>151</v>
      </c>
      <c r="D5419" s="1">
        <v>1</v>
      </c>
      <c r="E5419" s="1" t="s">
        <v>4</v>
      </c>
      <c r="F5419" s="2">
        <v>20700</v>
      </c>
      <c r="G5419" s="2" t="s">
        <v>667</v>
      </c>
      <c r="H5419" s="1" t="str">
        <f t="shared" si="180"/>
        <v>平成22年2月26日</v>
      </c>
      <c r="I5419" s="22">
        <f t="shared" si="179"/>
        <v>40235</v>
      </c>
      <c r="J5419" s="1" t="str">
        <f>"00739355"</f>
        <v>00739355</v>
      </c>
      <c r="K5419" s="1" t="str">
        <f>"２１１０　　　　　　　　　　　　　　　　"</f>
        <v>２１１０　　　　　　　　　　　　　　　　</v>
      </c>
      <c r="L5419" s="1"/>
    </row>
    <row r="5420" spans="1:12" ht="18" customHeight="1" x14ac:dyDescent="0.15">
      <c r="A5420" s="1">
        <v>1485</v>
      </c>
      <c r="B5420" s="1" t="s">
        <v>28</v>
      </c>
      <c r="C5420" s="1" t="s">
        <v>151</v>
      </c>
      <c r="D5420" s="1">
        <v>1</v>
      </c>
      <c r="E5420" s="1" t="s">
        <v>4</v>
      </c>
      <c r="F5420" s="2">
        <v>20700</v>
      </c>
      <c r="G5420" s="2" t="s">
        <v>667</v>
      </c>
      <c r="H5420" s="1" t="str">
        <f t="shared" si="180"/>
        <v>平成22年2月26日</v>
      </c>
      <c r="I5420" s="22">
        <f t="shared" si="179"/>
        <v>40235</v>
      </c>
      <c r="J5420" s="1" t="str">
        <f>"00739357"</f>
        <v>00739357</v>
      </c>
      <c r="K5420" s="1" t="str">
        <f>"２１１１　　　　　　　　　　　　　　　　"</f>
        <v>２１１１　　　　　　　　　　　　　　　　</v>
      </c>
      <c r="L5420" s="1"/>
    </row>
    <row r="5421" spans="1:12" ht="18" customHeight="1" x14ac:dyDescent="0.15">
      <c r="A5421" s="1">
        <v>1486</v>
      </c>
      <c r="B5421" s="1" t="s">
        <v>28</v>
      </c>
      <c r="C5421" s="1" t="s">
        <v>151</v>
      </c>
      <c r="D5421" s="1">
        <v>1</v>
      </c>
      <c r="E5421" s="1" t="s">
        <v>4</v>
      </c>
      <c r="F5421" s="2">
        <v>20700</v>
      </c>
      <c r="G5421" s="2" t="s">
        <v>667</v>
      </c>
      <c r="H5421" s="1" t="str">
        <f t="shared" si="180"/>
        <v>平成22年2月26日</v>
      </c>
      <c r="I5421" s="22">
        <f t="shared" si="179"/>
        <v>40235</v>
      </c>
      <c r="J5421" s="1" t="str">
        <f>"00739359"</f>
        <v>00739359</v>
      </c>
      <c r="K5421" s="1" t="str">
        <f>"２１１２　　　　　　　　　　　　　　　　"</f>
        <v>２１１２　　　　　　　　　　　　　　　　</v>
      </c>
      <c r="L5421" s="1"/>
    </row>
    <row r="5422" spans="1:12" ht="18" customHeight="1" x14ac:dyDescent="0.15">
      <c r="A5422" s="1">
        <v>1487</v>
      </c>
      <c r="B5422" s="1" t="s">
        <v>28</v>
      </c>
      <c r="C5422" s="1" t="s">
        <v>151</v>
      </c>
      <c r="D5422" s="1">
        <v>1</v>
      </c>
      <c r="E5422" s="1" t="s">
        <v>4</v>
      </c>
      <c r="F5422" s="2">
        <v>20700</v>
      </c>
      <c r="G5422" s="2" t="s">
        <v>667</v>
      </c>
      <c r="H5422" s="1" t="str">
        <f t="shared" si="180"/>
        <v>平成22年2月26日</v>
      </c>
      <c r="I5422" s="22">
        <f t="shared" si="179"/>
        <v>40235</v>
      </c>
      <c r="J5422" s="1" t="str">
        <f>"00739361"</f>
        <v>00739361</v>
      </c>
      <c r="K5422" s="1" t="str">
        <f>"２１１３　　　　　　　　　　　　　　　　"</f>
        <v>２１１３　　　　　　　　　　　　　　　　</v>
      </c>
      <c r="L5422" s="1"/>
    </row>
    <row r="5423" spans="1:12" ht="18" customHeight="1" x14ac:dyDescent="0.15">
      <c r="A5423" s="1">
        <v>1488</v>
      </c>
      <c r="B5423" s="1" t="s">
        <v>28</v>
      </c>
      <c r="C5423" s="1" t="s">
        <v>151</v>
      </c>
      <c r="D5423" s="1">
        <v>1</v>
      </c>
      <c r="E5423" s="1" t="s">
        <v>4</v>
      </c>
      <c r="F5423" s="2">
        <v>20700</v>
      </c>
      <c r="G5423" s="2" t="s">
        <v>667</v>
      </c>
      <c r="H5423" s="1" t="str">
        <f t="shared" si="180"/>
        <v>平成22年2月26日</v>
      </c>
      <c r="I5423" s="22">
        <f t="shared" si="179"/>
        <v>40235</v>
      </c>
      <c r="J5423" s="1" t="str">
        <f>"00739363"</f>
        <v>00739363</v>
      </c>
      <c r="K5423" s="1" t="str">
        <f>"２１１４　　　　　　　　　　　　　　　　"</f>
        <v>２１１４　　　　　　　　　　　　　　　　</v>
      </c>
      <c r="L5423" s="1"/>
    </row>
    <row r="5424" spans="1:12" ht="18" customHeight="1" x14ac:dyDescent="0.15">
      <c r="A5424" s="1">
        <v>1489</v>
      </c>
      <c r="B5424" s="1" t="s">
        <v>28</v>
      </c>
      <c r="C5424" s="1" t="s">
        <v>151</v>
      </c>
      <c r="D5424" s="1">
        <v>1</v>
      </c>
      <c r="E5424" s="1" t="s">
        <v>4</v>
      </c>
      <c r="F5424" s="2">
        <v>20700</v>
      </c>
      <c r="G5424" s="2" t="s">
        <v>667</v>
      </c>
      <c r="H5424" s="1" t="str">
        <f t="shared" si="180"/>
        <v>平成22年2月26日</v>
      </c>
      <c r="I5424" s="22">
        <f t="shared" si="179"/>
        <v>40235</v>
      </c>
      <c r="J5424" s="1" t="str">
        <f>"00739365"</f>
        <v>00739365</v>
      </c>
      <c r="K5424" s="1" t="str">
        <f>"２１１５　　　　　　　　　　　　　　　　"</f>
        <v>２１１５　　　　　　　　　　　　　　　　</v>
      </c>
      <c r="L5424" s="1"/>
    </row>
    <row r="5425" spans="1:12" ht="18" customHeight="1" x14ac:dyDescent="0.15">
      <c r="A5425" s="1">
        <v>1490</v>
      </c>
      <c r="B5425" s="1" t="s">
        <v>28</v>
      </c>
      <c r="C5425" s="1" t="s">
        <v>151</v>
      </c>
      <c r="D5425" s="1">
        <v>1</v>
      </c>
      <c r="E5425" s="1" t="s">
        <v>4</v>
      </c>
      <c r="F5425" s="2">
        <v>20700</v>
      </c>
      <c r="G5425" s="2" t="s">
        <v>667</v>
      </c>
      <c r="H5425" s="1" t="str">
        <f t="shared" si="180"/>
        <v>平成22年2月26日</v>
      </c>
      <c r="I5425" s="22">
        <f t="shared" si="179"/>
        <v>40235</v>
      </c>
      <c r="J5425" s="1" t="str">
        <f>"00739367"</f>
        <v>00739367</v>
      </c>
      <c r="K5425" s="1" t="str">
        <f>"２１１６　　　　　　　　　　　　　　　　"</f>
        <v>２１１６　　　　　　　　　　　　　　　　</v>
      </c>
      <c r="L5425" s="1"/>
    </row>
    <row r="5426" spans="1:12" ht="18" customHeight="1" x14ac:dyDescent="0.15">
      <c r="A5426" s="1">
        <v>1491</v>
      </c>
      <c r="B5426" s="1" t="s">
        <v>28</v>
      </c>
      <c r="C5426" s="1" t="s">
        <v>151</v>
      </c>
      <c r="D5426" s="1">
        <v>1</v>
      </c>
      <c r="E5426" s="1" t="s">
        <v>4</v>
      </c>
      <c r="F5426" s="2">
        <v>20700</v>
      </c>
      <c r="G5426" s="2" t="s">
        <v>667</v>
      </c>
      <c r="H5426" s="1" t="str">
        <f t="shared" si="180"/>
        <v>平成22年2月26日</v>
      </c>
      <c r="I5426" s="22">
        <f t="shared" si="179"/>
        <v>40235</v>
      </c>
      <c r="J5426" s="1" t="str">
        <f>"00739369"</f>
        <v>00739369</v>
      </c>
      <c r="K5426" s="1" t="str">
        <f>"２１１７　　　　　　　　　　　　　　　　"</f>
        <v>２１１７　　　　　　　　　　　　　　　　</v>
      </c>
      <c r="L5426" s="1"/>
    </row>
    <row r="5427" spans="1:12" ht="18" customHeight="1" x14ac:dyDescent="0.15">
      <c r="A5427" s="1">
        <v>1492</v>
      </c>
      <c r="B5427" s="1" t="s">
        <v>28</v>
      </c>
      <c r="C5427" s="1" t="s">
        <v>151</v>
      </c>
      <c r="D5427" s="1">
        <v>1</v>
      </c>
      <c r="E5427" s="1" t="s">
        <v>4</v>
      </c>
      <c r="F5427" s="2">
        <v>20700</v>
      </c>
      <c r="G5427" s="2" t="s">
        <v>667</v>
      </c>
      <c r="H5427" s="1" t="str">
        <f t="shared" si="180"/>
        <v>平成22年2月26日</v>
      </c>
      <c r="I5427" s="22">
        <f t="shared" si="179"/>
        <v>40235</v>
      </c>
      <c r="J5427" s="1" t="str">
        <f>"00739371"</f>
        <v>00739371</v>
      </c>
      <c r="K5427" s="1" t="str">
        <f>"２１１８　　　　　　　　　　　　　　　　"</f>
        <v>２１１８　　　　　　　　　　　　　　　　</v>
      </c>
      <c r="L5427" s="1"/>
    </row>
    <row r="5428" spans="1:12" ht="18" customHeight="1" x14ac:dyDescent="0.15">
      <c r="A5428" s="1">
        <v>1493</v>
      </c>
      <c r="B5428" s="1" t="s">
        <v>28</v>
      </c>
      <c r="C5428" s="1" t="s">
        <v>151</v>
      </c>
      <c r="D5428" s="1">
        <v>1</v>
      </c>
      <c r="E5428" s="1" t="s">
        <v>4</v>
      </c>
      <c r="F5428" s="2">
        <v>20700</v>
      </c>
      <c r="G5428" s="2" t="s">
        <v>667</v>
      </c>
      <c r="H5428" s="1" t="str">
        <f t="shared" si="180"/>
        <v>平成22年2月26日</v>
      </c>
      <c r="I5428" s="22">
        <f t="shared" si="179"/>
        <v>40235</v>
      </c>
      <c r="J5428" s="1" t="str">
        <f>"00739373"</f>
        <v>00739373</v>
      </c>
      <c r="K5428" s="1" t="str">
        <f>"２１１９　　　　　　　　　　　　　　　　"</f>
        <v>２１１９　　　　　　　　　　　　　　　　</v>
      </c>
      <c r="L5428" s="1"/>
    </row>
    <row r="5429" spans="1:12" ht="18" customHeight="1" x14ac:dyDescent="0.15">
      <c r="A5429" s="1">
        <v>1494</v>
      </c>
      <c r="B5429" s="1" t="s">
        <v>28</v>
      </c>
      <c r="C5429" s="1" t="s">
        <v>151</v>
      </c>
      <c r="D5429" s="1">
        <v>1</v>
      </c>
      <c r="E5429" s="1" t="s">
        <v>4</v>
      </c>
      <c r="F5429" s="2">
        <v>20700</v>
      </c>
      <c r="G5429" s="2" t="s">
        <v>667</v>
      </c>
      <c r="H5429" s="1" t="str">
        <f t="shared" si="180"/>
        <v>平成22年2月26日</v>
      </c>
      <c r="I5429" s="22">
        <f t="shared" si="179"/>
        <v>40235</v>
      </c>
      <c r="J5429" s="1" t="str">
        <f>"00739375"</f>
        <v>00739375</v>
      </c>
      <c r="K5429" s="1" t="str">
        <f>"２１２０　　　　　　　　　　　　　　　　"</f>
        <v>２１２０　　　　　　　　　　　　　　　　</v>
      </c>
      <c r="L5429" s="1"/>
    </row>
    <row r="5430" spans="1:12" ht="18" customHeight="1" x14ac:dyDescent="0.15">
      <c r="A5430" s="1">
        <v>1495</v>
      </c>
      <c r="B5430" s="1" t="s">
        <v>28</v>
      </c>
      <c r="C5430" s="1" t="s">
        <v>151</v>
      </c>
      <c r="D5430" s="1">
        <v>1</v>
      </c>
      <c r="E5430" s="1" t="s">
        <v>4</v>
      </c>
      <c r="F5430" s="2">
        <v>20700</v>
      </c>
      <c r="G5430" s="2" t="s">
        <v>667</v>
      </c>
      <c r="H5430" s="1" t="str">
        <f t="shared" si="180"/>
        <v>平成22年2月26日</v>
      </c>
      <c r="I5430" s="22">
        <f t="shared" si="179"/>
        <v>40235</v>
      </c>
      <c r="J5430" s="1" t="str">
        <f>"00739377"</f>
        <v>00739377</v>
      </c>
      <c r="K5430" s="1" t="str">
        <f>"２１２１　　　　　　　　　　　　　　　　"</f>
        <v>２１２１　　　　　　　　　　　　　　　　</v>
      </c>
      <c r="L5430" s="1"/>
    </row>
    <row r="5431" spans="1:12" ht="18" customHeight="1" x14ac:dyDescent="0.15">
      <c r="A5431" s="1">
        <v>1496</v>
      </c>
      <c r="B5431" s="1" t="s">
        <v>28</v>
      </c>
      <c r="C5431" s="1" t="s">
        <v>151</v>
      </c>
      <c r="D5431" s="1">
        <v>1</v>
      </c>
      <c r="E5431" s="1" t="s">
        <v>4</v>
      </c>
      <c r="F5431" s="2">
        <v>20700</v>
      </c>
      <c r="G5431" s="2" t="s">
        <v>667</v>
      </c>
      <c r="H5431" s="1" t="str">
        <f t="shared" si="180"/>
        <v>平成22年2月26日</v>
      </c>
      <c r="I5431" s="22">
        <f t="shared" si="179"/>
        <v>40235</v>
      </c>
      <c r="J5431" s="1" t="str">
        <f>"00739379"</f>
        <v>00739379</v>
      </c>
      <c r="K5431" s="1" t="str">
        <f>"２１２２　　　　　　　　　　　　　　　　"</f>
        <v>２１２２　　　　　　　　　　　　　　　　</v>
      </c>
      <c r="L5431" s="1"/>
    </row>
    <row r="5432" spans="1:12" ht="18" customHeight="1" x14ac:dyDescent="0.15">
      <c r="A5432" s="1">
        <v>1497</v>
      </c>
      <c r="B5432" s="1" t="s">
        <v>28</v>
      </c>
      <c r="C5432" s="1" t="s">
        <v>151</v>
      </c>
      <c r="D5432" s="1">
        <v>1</v>
      </c>
      <c r="E5432" s="1" t="s">
        <v>4</v>
      </c>
      <c r="F5432" s="2">
        <v>20700</v>
      </c>
      <c r="G5432" s="2" t="s">
        <v>667</v>
      </c>
      <c r="H5432" s="1" t="str">
        <f t="shared" si="180"/>
        <v>平成22年2月26日</v>
      </c>
      <c r="I5432" s="22">
        <f t="shared" si="179"/>
        <v>40235</v>
      </c>
      <c r="J5432" s="1" t="str">
        <f>"00739381"</f>
        <v>00739381</v>
      </c>
      <c r="K5432" s="1" t="str">
        <f>"２１２３　　　　　　　　　　　　　　　　"</f>
        <v>２１２３　　　　　　　　　　　　　　　　</v>
      </c>
      <c r="L5432" s="1"/>
    </row>
    <row r="5433" spans="1:12" ht="18" customHeight="1" x14ac:dyDescent="0.15">
      <c r="A5433" s="1">
        <v>1498</v>
      </c>
      <c r="B5433" s="1" t="s">
        <v>28</v>
      </c>
      <c r="C5433" s="1" t="s">
        <v>151</v>
      </c>
      <c r="D5433" s="1">
        <v>1</v>
      </c>
      <c r="E5433" s="1" t="s">
        <v>4</v>
      </c>
      <c r="F5433" s="2">
        <v>20700</v>
      </c>
      <c r="G5433" s="2" t="s">
        <v>667</v>
      </c>
      <c r="H5433" s="1" t="str">
        <f t="shared" si="180"/>
        <v>平成22年2月26日</v>
      </c>
      <c r="I5433" s="22">
        <f t="shared" si="179"/>
        <v>40235</v>
      </c>
      <c r="J5433" s="1" t="str">
        <f>"00739383"</f>
        <v>00739383</v>
      </c>
      <c r="K5433" s="1" t="str">
        <f>"２１２４　　　　　　　　　　　　　　　　"</f>
        <v>２１２４　　　　　　　　　　　　　　　　</v>
      </c>
      <c r="L5433" s="1"/>
    </row>
    <row r="5434" spans="1:12" ht="18" customHeight="1" x14ac:dyDescent="0.15">
      <c r="A5434" s="1">
        <v>1499</v>
      </c>
      <c r="B5434" s="1" t="s">
        <v>28</v>
      </c>
      <c r="C5434" s="1" t="s">
        <v>151</v>
      </c>
      <c r="D5434" s="1">
        <v>1</v>
      </c>
      <c r="E5434" s="1" t="s">
        <v>4</v>
      </c>
      <c r="F5434" s="2">
        <v>20700</v>
      </c>
      <c r="G5434" s="2" t="s">
        <v>667</v>
      </c>
      <c r="H5434" s="1" t="str">
        <f t="shared" si="180"/>
        <v>平成22年2月26日</v>
      </c>
      <c r="I5434" s="22">
        <f t="shared" si="179"/>
        <v>40235</v>
      </c>
      <c r="J5434" s="1" t="str">
        <f>"00739385"</f>
        <v>00739385</v>
      </c>
      <c r="K5434" s="1" t="str">
        <f>"２１２５　　　　　　　　　　　　　　　　"</f>
        <v>２１２５　　　　　　　　　　　　　　　　</v>
      </c>
      <c r="L5434" s="1"/>
    </row>
    <row r="5435" spans="1:12" ht="18" customHeight="1" x14ac:dyDescent="0.15">
      <c r="A5435" s="1">
        <v>1500</v>
      </c>
      <c r="B5435" s="1" t="s">
        <v>28</v>
      </c>
      <c r="C5435" s="1" t="s">
        <v>151</v>
      </c>
      <c r="D5435" s="1">
        <v>1</v>
      </c>
      <c r="E5435" s="1" t="s">
        <v>4</v>
      </c>
      <c r="F5435" s="2">
        <v>20700</v>
      </c>
      <c r="G5435" s="2" t="s">
        <v>667</v>
      </c>
      <c r="H5435" s="1" t="str">
        <f t="shared" si="180"/>
        <v>平成22年2月26日</v>
      </c>
      <c r="I5435" s="22">
        <f t="shared" si="179"/>
        <v>40235</v>
      </c>
      <c r="J5435" s="1" t="str">
        <f>"00739387"</f>
        <v>00739387</v>
      </c>
      <c r="K5435" s="1" t="str">
        <f>"２１２６　　　　　　　　　　　　　　　　"</f>
        <v>２１２６　　　　　　　　　　　　　　　　</v>
      </c>
      <c r="L5435" s="1"/>
    </row>
    <row r="5436" spans="1:12" ht="18" customHeight="1" x14ac:dyDescent="0.15">
      <c r="A5436" s="1">
        <v>1501</v>
      </c>
      <c r="B5436" s="1" t="s">
        <v>28</v>
      </c>
      <c r="C5436" s="1" t="s">
        <v>151</v>
      </c>
      <c r="D5436" s="1">
        <v>1</v>
      </c>
      <c r="E5436" s="1" t="s">
        <v>4</v>
      </c>
      <c r="F5436" s="2">
        <v>20700</v>
      </c>
      <c r="G5436" s="2" t="s">
        <v>667</v>
      </c>
      <c r="H5436" s="1" t="str">
        <f t="shared" si="180"/>
        <v>平成22年2月26日</v>
      </c>
      <c r="I5436" s="22">
        <f t="shared" si="179"/>
        <v>40235</v>
      </c>
      <c r="J5436" s="1" t="str">
        <f>"00739389"</f>
        <v>00739389</v>
      </c>
      <c r="K5436" s="1" t="str">
        <f>"２１２７　　　　　　　　　　　　　　　　"</f>
        <v>２１２７　　　　　　　　　　　　　　　　</v>
      </c>
      <c r="L5436" s="1"/>
    </row>
    <row r="5437" spans="1:12" ht="18" customHeight="1" x14ac:dyDescent="0.15">
      <c r="A5437" s="1">
        <v>1502</v>
      </c>
      <c r="B5437" s="1" t="s">
        <v>28</v>
      </c>
      <c r="C5437" s="1" t="s">
        <v>151</v>
      </c>
      <c r="D5437" s="1">
        <v>1</v>
      </c>
      <c r="E5437" s="1" t="s">
        <v>4</v>
      </c>
      <c r="F5437" s="2">
        <v>20700</v>
      </c>
      <c r="G5437" s="2" t="s">
        <v>667</v>
      </c>
      <c r="H5437" s="1" t="str">
        <f t="shared" si="180"/>
        <v>平成22年2月26日</v>
      </c>
      <c r="I5437" s="22">
        <f t="shared" si="179"/>
        <v>40235</v>
      </c>
      <c r="J5437" s="1" t="str">
        <f>"00739391"</f>
        <v>00739391</v>
      </c>
      <c r="K5437" s="1" t="str">
        <f>"２１２８　　　　　　　　　　　　　　　　"</f>
        <v>２１２８　　　　　　　　　　　　　　　　</v>
      </c>
      <c r="L5437" s="1"/>
    </row>
    <row r="5438" spans="1:12" ht="18" customHeight="1" x14ac:dyDescent="0.15">
      <c r="A5438" s="1">
        <v>1503</v>
      </c>
      <c r="B5438" s="1" t="s">
        <v>28</v>
      </c>
      <c r="C5438" s="1" t="s">
        <v>151</v>
      </c>
      <c r="D5438" s="1">
        <v>1</v>
      </c>
      <c r="E5438" s="1" t="s">
        <v>4</v>
      </c>
      <c r="F5438" s="2">
        <v>20700</v>
      </c>
      <c r="G5438" s="2" t="s">
        <v>667</v>
      </c>
      <c r="H5438" s="1" t="str">
        <f t="shared" si="180"/>
        <v>平成22年2月26日</v>
      </c>
      <c r="I5438" s="22">
        <f t="shared" si="179"/>
        <v>40235</v>
      </c>
      <c r="J5438" s="1" t="str">
        <f>"00739393"</f>
        <v>00739393</v>
      </c>
      <c r="K5438" s="1" t="str">
        <f>"２１２９　　　　　　　　　　　　　　　　"</f>
        <v>２１２９　　　　　　　　　　　　　　　　</v>
      </c>
      <c r="L5438" s="1"/>
    </row>
    <row r="5439" spans="1:12" ht="18" customHeight="1" x14ac:dyDescent="0.15">
      <c r="A5439" s="1">
        <v>1504</v>
      </c>
      <c r="B5439" s="1" t="s">
        <v>28</v>
      </c>
      <c r="C5439" s="1" t="s">
        <v>151</v>
      </c>
      <c r="D5439" s="1">
        <v>1</v>
      </c>
      <c r="E5439" s="1" t="s">
        <v>4</v>
      </c>
      <c r="F5439" s="2">
        <v>20700</v>
      </c>
      <c r="G5439" s="2" t="s">
        <v>667</v>
      </c>
      <c r="H5439" s="1" t="str">
        <f t="shared" si="180"/>
        <v>平成22年2月26日</v>
      </c>
      <c r="I5439" s="22">
        <f t="shared" si="179"/>
        <v>40235</v>
      </c>
      <c r="J5439" s="1" t="str">
        <f>"00739395"</f>
        <v>00739395</v>
      </c>
      <c r="K5439" s="1" t="str">
        <f>"２１３０　　　　　　　　　　　　　　　　"</f>
        <v>２１３０　　　　　　　　　　　　　　　　</v>
      </c>
      <c r="L5439" s="1"/>
    </row>
    <row r="5440" spans="1:12" ht="18" customHeight="1" x14ac:dyDescent="0.15">
      <c r="A5440" s="1">
        <v>1505</v>
      </c>
      <c r="B5440" s="1" t="s">
        <v>28</v>
      </c>
      <c r="C5440" s="1" t="s">
        <v>151</v>
      </c>
      <c r="D5440" s="1">
        <v>1</v>
      </c>
      <c r="E5440" s="1" t="s">
        <v>4</v>
      </c>
      <c r="F5440" s="2">
        <v>20700</v>
      </c>
      <c r="G5440" s="2" t="s">
        <v>667</v>
      </c>
      <c r="H5440" s="1" t="str">
        <f t="shared" si="180"/>
        <v>平成22年2月26日</v>
      </c>
      <c r="I5440" s="22">
        <f t="shared" si="179"/>
        <v>40235</v>
      </c>
      <c r="J5440" s="1" t="str">
        <f>"00739397"</f>
        <v>00739397</v>
      </c>
      <c r="K5440" s="1" t="str">
        <f>"２１３１　　　　　　　　　　　　　　　　"</f>
        <v>２１３１　　　　　　　　　　　　　　　　</v>
      </c>
      <c r="L5440" s="1"/>
    </row>
    <row r="5441" spans="1:12" ht="18" customHeight="1" x14ac:dyDescent="0.15">
      <c r="A5441" s="1">
        <v>1506</v>
      </c>
      <c r="B5441" s="1" t="s">
        <v>28</v>
      </c>
      <c r="C5441" s="1" t="s">
        <v>151</v>
      </c>
      <c r="D5441" s="1">
        <v>1</v>
      </c>
      <c r="E5441" s="1" t="s">
        <v>4</v>
      </c>
      <c r="F5441" s="2">
        <v>20700</v>
      </c>
      <c r="G5441" s="2" t="s">
        <v>667</v>
      </c>
      <c r="H5441" s="1" t="str">
        <f t="shared" si="180"/>
        <v>平成22年2月26日</v>
      </c>
      <c r="I5441" s="22">
        <f t="shared" si="179"/>
        <v>40235</v>
      </c>
      <c r="J5441" s="1" t="str">
        <f>"00739399"</f>
        <v>00739399</v>
      </c>
      <c r="K5441" s="1" t="str">
        <f>"２１３２　　　　　　　　　　　　　　　　"</f>
        <v>２１３２　　　　　　　　　　　　　　　　</v>
      </c>
      <c r="L5441" s="1"/>
    </row>
    <row r="5442" spans="1:12" ht="18" customHeight="1" x14ac:dyDescent="0.15">
      <c r="A5442" s="1">
        <v>1507</v>
      </c>
      <c r="B5442" s="1" t="s">
        <v>28</v>
      </c>
      <c r="C5442" s="1" t="s">
        <v>151</v>
      </c>
      <c r="D5442" s="1">
        <v>1</v>
      </c>
      <c r="E5442" s="1" t="s">
        <v>4</v>
      </c>
      <c r="F5442" s="2">
        <v>20700</v>
      </c>
      <c r="G5442" s="2" t="s">
        <v>667</v>
      </c>
      <c r="H5442" s="1" t="str">
        <f t="shared" si="180"/>
        <v>平成22年2月26日</v>
      </c>
      <c r="I5442" s="22">
        <f t="shared" si="179"/>
        <v>40235</v>
      </c>
      <c r="J5442" s="1" t="str">
        <f>"00739401"</f>
        <v>00739401</v>
      </c>
      <c r="K5442" s="1" t="str">
        <f>"２１３３　　　　　　　　　　　　　　　　"</f>
        <v>２１３３　　　　　　　　　　　　　　　　</v>
      </c>
      <c r="L5442" s="1"/>
    </row>
    <row r="5443" spans="1:12" ht="18" customHeight="1" x14ac:dyDescent="0.15">
      <c r="A5443" s="1">
        <v>1508</v>
      </c>
      <c r="B5443" s="1" t="s">
        <v>28</v>
      </c>
      <c r="C5443" s="1" t="s">
        <v>151</v>
      </c>
      <c r="D5443" s="1">
        <v>1</v>
      </c>
      <c r="E5443" s="1" t="s">
        <v>4</v>
      </c>
      <c r="F5443" s="2">
        <v>20700</v>
      </c>
      <c r="G5443" s="2" t="s">
        <v>667</v>
      </c>
      <c r="H5443" s="1" t="str">
        <f t="shared" si="180"/>
        <v>平成22年2月26日</v>
      </c>
      <c r="I5443" s="22">
        <f t="shared" si="179"/>
        <v>40235</v>
      </c>
      <c r="J5443" s="1" t="str">
        <f>"00739403"</f>
        <v>00739403</v>
      </c>
      <c r="K5443" s="1" t="str">
        <f>"２１３４　　　　　　　　　　　　　　　　"</f>
        <v>２１３４　　　　　　　　　　　　　　　　</v>
      </c>
      <c r="L5443" s="1"/>
    </row>
    <row r="5444" spans="1:12" ht="18" customHeight="1" x14ac:dyDescent="0.15">
      <c r="A5444" s="1">
        <v>1509</v>
      </c>
      <c r="B5444" s="1" t="s">
        <v>28</v>
      </c>
      <c r="C5444" s="1" t="s">
        <v>151</v>
      </c>
      <c r="D5444" s="1">
        <v>1</v>
      </c>
      <c r="E5444" s="1" t="s">
        <v>4</v>
      </c>
      <c r="F5444" s="2">
        <v>20700</v>
      </c>
      <c r="G5444" s="2" t="s">
        <v>667</v>
      </c>
      <c r="H5444" s="1" t="str">
        <f t="shared" si="180"/>
        <v>平成22年2月26日</v>
      </c>
      <c r="I5444" s="22">
        <f t="shared" si="179"/>
        <v>40235</v>
      </c>
      <c r="J5444" s="1" t="str">
        <f>"00739405"</f>
        <v>00739405</v>
      </c>
      <c r="K5444" s="1" t="str">
        <f>"２１３５　　　　　　　　　　　　　　　　"</f>
        <v>２１３５　　　　　　　　　　　　　　　　</v>
      </c>
      <c r="L5444" s="1"/>
    </row>
    <row r="5445" spans="1:12" ht="18" customHeight="1" x14ac:dyDescent="0.15">
      <c r="A5445" s="1">
        <v>1510</v>
      </c>
      <c r="B5445" s="1" t="s">
        <v>28</v>
      </c>
      <c r="C5445" s="1" t="s">
        <v>151</v>
      </c>
      <c r="D5445" s="1">
        <v>1</v>
      </c>
      <c r="E5445" s="1" t="s">
        <v>4</v>
      </c>
      <c r="F5445" s="2">
        <v>20700</v>
      </c>
      <c r="G5445" s="2" t="s">
        <v>667</v>
      </c>
      <c r="H5445" s="1" t="str">
        <f t="shared" si="180"/>
        <v>平成22年2月26日</v>
      </c>
      <c r="I5445" s="22">
        <f t="shared" si="179"/>
        <v>40235</v>
      </c>
      <c r="J5445" s="1" t="str">
        <f>"00739407"</f>
        <v>00739407</v>
      </c>
      <c r="K5445" s="1" t="str">
        <f>"２１３６　　　　　　　　　　　　　　　　"</f>
        <v>２１３６　　　　　　　　　　　　　　　　</v>
      </c>
      <c r="L5445" s="1"/>
    </row>
    <row r="5446" spans="1:12" ht="18" customHeight="1" x14ac:dyDescent="0.15">
      <c r="A5446" s="1">
        <v>1511</v>
      </c>
      <c r="B5446" s="1" t="s">
        <v>28</v>
      </c>
      <c r="C5446" s="1" t="s">
        <v>151</v>
      </c>
      <c r="D5446" s="1">
        <v>1</v>
      </c>
      <c r="E5446" s="1" t="s">
        <v>4</v>
      </c>
      <c r="F5446" s="2">
        <v>20700</v>
      </c>
      <c r="G5446" s="2" t="s">
        <v>667</v>
      </c>
      <c r="H5446" s="1" t="str">
        <f t="shared" si="180"/>
        <v>平成22年2月26日</v>
      </c>
      <c r="I5446" s="22">
        <f t="shared" si="179"/>
        <v>40235</v>
      </c>
      <c r="J5446" s="1" t="str">
        <f>"00739409"</f>
        <v>00739409</v>
      </c>
      <c r="K5446" s="1" t="str">
        <f>"２１３７　　　　　　　　　　　　　　　　"</f>
        <v>２１３７　　　　　　　　　　　　　　　　</v>
      </c>
      <c r="L5446" s="1"/>
    </row>
    <row r="5447" spans="1:12" ht="18" customHeight="1" x14ac:dyDescent="0.15">
      <c r="A5447" s="1">
        <v>1512</v>
      </c>
      <c r="B5447" s="1" t="s">
        <v>28</v>
      </c>
      <c r="C5447" s="1" t="s">
        <v>151</v>
      </c>
      <c r="D5447" s="1">
        <v>1</v>
      </c>
      <c r="E5447" s="1" t="s">
        <v>4</v>
      </c>
      <c r="F5447" s="2">
        <v>20700</v>
      </c>
      <c r="G5447" s="2" t="s">
        <v>667</v>
      </c>
      <c r="H5447" s="1" t="str">
        <f t="shared" si="180"/>
        <v>平成22年2月26日</v>
      </c>
      <c r="I5447" s="22">
        <f t="shared" si="179"/>
        <v>40235</v>
      </c>
      <c r="J5447" s="1" t="str">
        <f>"00739411"</f>
        <v>00739411</v>
      </c>
      <c r="K5447" s="1" t="str">
        <f>"２１３８　　　　　　　　　　　　　　　　"</f>
        <v>２１３８　　　　　　　　　　　　　　　　</v>
      </c>
      <c r="L5447" s="1"/>
    </row>
    <row r="5448" spans="1:12" ht="18" customHeight="1" x14ac:dyDescent="0.15">
      <c r="A5448" s="1">
        <v>1513</v>
      </c>
      <c r="B5448" s="1" t="s">
        <v>28</v>
      </c>
      <c r="C5448" s="1" t="s">
        <v>151</v>
      </c>
      <c r="D5448" s="1">
        <v>1</v>
      </c>
      <c r="E5448" s="1" t="s">
        <v>4</v>
      </c>
      <c r="F5448" s="2">
        <v>20700</v>
      </c>
      <c r="G5448" s="2" t="s">
        <v>667</v>
      </c>
      <c r="H5448" s="1" t="str">
        <f t="shared" si="180"/>
        <v>平成22年2月26日</v>
      </c>
      <c r="I5448" s="22">
        <f t="shared" si="179"/>
        <v>40235</v>
      </c>
      <c r="J5448" s="1" t="str">
        <f>"00739413"</f>
        <v>00739413</v>
      </c>
      <c r="K5448" s="1" t="str">
        <f>"２１３９　　　　　　　　　　　　　　　　"</f>
        <v>２１３９　　　　　　　　　　　　　　　　</v>
      </c>
      <c r="L5448" s="1"/>
    </row>
    <row r="5449" spans="1:12" ht="18" customHeight="1" x14ac:dyDescent="0.15">
      <c r="A5449" s="1">
        <v>1514</v>
      </c>
      <c r="B5449" s="1" t="s">
        <v>28</v>
      </c>
      <c r="C5449" s="1" t="s">
        <v>151</v>
      </c>
      <c r="D5449" s="1">
        <v>1</v>
      </c>
      <c r="E5449" s="1" t="s">
        <v>4</v>
      </c>
      <c r="F5449" s="2">
        <v>20700</v>
      </c>
      <c r="G5449" s="2" t="s">
        <v>667</v>
      </c>
      <c r="H5449" s="1" t="str">
        <f t="shared" si="180"/>
        <v>平成22年2月26日</v>
      </c>
      <c r="I5449" s="22">
        <f t="shared" si="179"/>
        <v>40235</v>
      </c>
      <c r="J5449" s="1" t="str">
        <f>"00739415"</f>
        <v>00739415</v>
      </c>
      <c r="K5449" s="1" t="str">
        <f>"２１４０　　　　　　　　　　　　　　　　"</f>
        <v>２１４０　　　　　　　　　　　　　　　　</v>
      </c>
      <c r="L5449" s="1"/>
    </row>
    <row r="5450" spans="1:12" ht="18" customHeight="1" x14ac:dyDescent="0.15">
      <c r="A5450" s="1">
        <v>1515</v>
      </c>
      <c r="B5450" s="1" t="s">
        <v>28</v>
      </c>
      <c r="C5450" s="1" t="s">
        <v>151</v>
      </c>
      <c r="D5450" s="1">
        <v>1</v>
      </c>
      <c r="E5450" s="1" t="s">
        <v>4</v>
      </c>
      <c r="F5450" s="2">
        <v>20700</v>
      </c>
      <c r="G5450" s="2" t="s">
        <v>667</v>
      </c>
      <c r="H5450" s="1" t="str">
        <f t="shared" si="180"/>
        <v>平成22年2月26日</v>
      </c>
      <c r="I5450" s="22">
        <f t="shared" si="179"/>
        <v>40235</v>
      </c>
      <c r="J5450" s="1" t="str">
        <f>"00739417"</f>
        <v>00739417</v>
      </c>
      <c r="K5450" s="1" t="str">
        <f>"２１４１　　　　　　　　　　　　　　　　"</f>
        <v>２１４１　　　　　　　　　　　　　　　　</v>
      </c>
      <c r="L5450" s="1"/>
    </row>
    <row r="5451" spans="1:12" ht="18" customHeight="1" x14ac:dyDescent="0.15">
      <c r="A5451" s="1">
        <v>1516</v>
      </c>
      <c r="B5451" s="1" t="s">
        <v>28</v>
      </c>
      <c r="C5451" s="1" t="s">
        <v>151</v>
      </c>
      <c r="D5451" s="1">
        <v>1</v>
      </c>
      <c r="E5451" s="1" t="s">
        <v>4</v>
      </c>
      <c r="F5451" s="2">
        <v>20700</v>
      </c>
      <c r="G5451" s="2" t="s">
        <v>667</v>
      </c>
      <c r="H5451" s="1" t="str">
        <f t="shared" si="180"/>
        <v>平成22年2月26日</v>
      </c>
      <c r="I5451" s="22">
        <f t="shared" si="179"/>
        <v>40235</v>
      </c>
      <c r="J5451" s="1" t="str">
        <f>"00739419"</f>
        <v>00739419</v>
      </c>
      <c r="K5451" s="1" t="str">
        <f>"２１４２　　　　　　　　　　　　　　　　"</f>
        <v>２１４２　　　　　　　　　　　　　　　　</v>
      </c>
      <c r="L5451" s="1"/>
    </row>
    <row r="5452" spans="1:12" ht="18" customHeight="1" x14ac:dyDescent="0.15">
      <c r="A5452" s="1">
        <v>1517</v>
      </c>
      <c r="B5452" s="1" t="s">
        <v>28</v>
      </c>
      <c r="C5452" s="1" t="s">
        <v>151</v>
      </c>
      <c r="D5452" s="1">
        <v>1</v>
      </c>
      <c r="E5452" s="1" t="s">
        <v>4</v>
      </c>
      <c r="F5452" s="2">
        <v>20700</v>
      </c>
      <c r="G5452" s="2" t="s">
        <v>667</v>
      </c>
      <c r="H5452" s="1" t="str">
        <f t="shared" si="180"/>
        <v>平成22年2月26日</v>
      </c>
      <c r="I5452" s="22">
        <f t="shared" si="179"/>
        <v>40235</v>
      </c>
      <c r="J5452" s="1" t="str">
        <f>"00739421"</f>
        <v>00739421</v>
      </c>
      <c r="K5452" s="1" t="str">
        <f>"２１４３　　　　　　　　　　　　　　　　"</f>
        <v>２１４３　　　　　　　　　　　　　　　　</v>
      </c>
      <c r="L5452" s="1"/>
    </row>
    <row r="5453" spans="1:12" ht="18" customHeight="1" x14ac:dyDescent="0.15">
      <c r="A5453" s="1">
        <v>1518</v>
      </c>
      <c r="B5453" s="1" t="s">
        <v>28</v>
      </c>
      <c r="C5453" s="1" t="s">
        <v>151</v>
      </c>
      <c r="D5453" s="1">
        <v>1</v>
      </c>
      <c r="E5453" s="1" t="s">
        <v>4</v>
      </c>
      <c r="F5453" s="2">
        <v>20700</v>
      </c>
      <c r="G5453" s="2" t="s">
        <v>667</v>
      </c>
      <c r="H5453" s="1" t="str">
        <f t="shared" si="180"/>
        <v>平成22年2月26日</v>
      </c>
      <c r="I5453" s="22">
        <f t="shared" si="179"/>
        <v>40235</v>
      </c>
      <c r="J5453" s="1" t="str">
        <f>"00739423"</f>
        <v>00739423</v>
      </c>
      <c r="K5453" s="1" t="str">
        <f>"２１４４　　　　　　　　　　　　　　　　"</f>
        <v>２１４４　　　　　　　　　　　　　　　　</v>
      </c>
      <c r="L5453" s="1"/>
    </row>
    <row r="5454" spans="1:12" ht="18" customHeight="1" x14ac:dyDescent="0.15">
      <c r="A5454" s="1">
        <v>1519</v>
      </c>
      <c r="B5454" s="1" t="s">
        <v>28</v>
      </c>
      <c r="C5454" s="1" t="s">
        <v>151</v>
      </c>
      <c r="D5454" s="1">
        <v>1</v>
      </c>
      <c r="E5454" s="1" t="s">
        <v>4</v>
      </c>
      <c r="F5454" s="2">
        <v>20700</v>
      </c>
      <c r="G5454" s="2" t="s">
        <v>667</v>
      </c>
      <c r="H5454" s="1" t="str">
        <f t="shared" si="180"/>
        <v>平成22年2月26日</v>
      </c>
      <c r="I5454" s="22">
        <f t="shared" si="179"/>
        <v>40235</v>
      </c>
      <c r="J5454" s="1" t="str">
        <f>"00739425"</f>
        <v>00739425</v>
      </c>
      <c r="K5454" s="1" t="str">
        <f>"２１４５　　　　　　　　　　　　　　　　"</f>
        <v>２１４５　　　　　　　　　　　　　　　　</v>
      </c>
      <c r="L5454" s="1"/>
    </row>
    <row r="5455" spans="1:12" ht="18" customHeight="1" x14ac:dyDescent="0.15">
      <c r="A5455" s="1">
        <v>1520</v>
      </c>
      <c r="B5455" s="1" t="s">
        <v>28</v>
      </c>
      <c r="C5455" s="1" t="s">
        <v>151</v>
      </c>
      <c r="D5455" s="1">
        <v>1</v>
      </c>
      <c r="E5455" s="1" t="s">
        <v>4</v>
      </c>
      <c r="F5455" s="2">
        <v>20700</v>
      </c>
      <c r="G5455" s="2" t="s">
        <v>667</v>
      </c>
      <c r="H5455" s="1" t="str">
        <f t="shared" si="180"/>
        <v>平成22年2月26日</v>
      </c>
      <c r="I5455" s="22">
        <f t="shared" si="179"/>
        <v>40235</v>
      </c>
      <c r="J5455" s="1" t="str">
        <f>"00739429"</f>
        <v>00739429</v>
      </c>
      <c r="K5455" s="1" t="str">
        <f>"２１４７　　　　　　　　　　　　　　　　"</f>
        <v>２１４７　　　　　　　　　　　　　　　　</v>
      </c>
      <c r="L5455" s="1"/>
    </row>
    <row r="5456" spans="1:12" ht="18" customHeight="1" x14ac:dyDescent="0.15">
      <c r="A5456" s="1">
        <v>1521</v>
      </c>
      <c r="B5456" s="1" t="s">
        <v>28</v>
      </c>
      <c r="C5456" s="1" t="s">
        <v>151</v>
      </c>
      <c r="D5456" s="1">
        <v>1</v>
      </c>
      <c r="E5456" s="1" t="s">
        <v>4</v>
      </c>
      <c r="F5456" s="2">
        <v>20700</v>
      </c>
      <c r="G5456" s="2" t="s">
        <v>667</v>
      </c>
      <c r="H5456" s="1" t="str">
        <f t="shared" si="180"/>
        <v>平成22年2月26日</v>
      </c>
      <c r="I5456" s="22">
        <f t="shared" si="179"/>
        <v>40235</v>
      </c>
      <c r="J5456" s="1" t="str">
        <f>"00739431"</f>
        <v>00739431</v>
      </c>
      <c r="K5456" s="1" t="str">
        <f>"２１４８　　　　　　　　　　　　　　　　"</f>
        <v>２１４８　　　　　　　　　　　　　　　　</v>
      </c>
      <c r="L5456" s="1"/>
    </row>
    <row r="5457" spans="1:12" ht="18" customHeight="1" x14ac:dyDescent="0.15">
      <c r="A5457" s="1">
        <v>1522</v>
      </c>
      <c r="B5457" s="1" t="s">
        <v>28</v>
      </c>
      <c r="C5457" s="1" t="s">
        <v>151</v>
      </c>
      <c r="D5457" s="1">
        <v>1</v>
      </c>
      <c r="E5457" s="1" t="s">
        <v>4</v>
      </c>
      <c r="F5457" s="2">
        <v>20700</v>
      </c>
      <c r="G5457" s="2" t="s">
        <v>667</v>
      </c>
      <c r="H5457" s="1" t="str">
        <f t="shared" si="180"/>
        <v>平成22年2月26日</v>
      </c>
      <c r="I5457" s="22">
        <f t="shared" si="179"/>
        <v>40235</v>
      </c>
      <c r="J5457" s="1" t="str">
        <f>"00739433"</f>
        <v>00739433</v>
      </c>
      <c r="K5457" s="1" t="str">
        <f>"２１４９　　　　　　　　　　　　　　　　"</f>
        <v>２１４９　　　　　　　　　　　　　　　　</v>
      </c>
      <c r="L5457" s="1"/>
    </row>
    <row r="5458" spans="1:12" ht="18" customHeight="1" x14ac:dyDescent="0.15">
      <c r="A5458" s="1">
        <v>1523</v>
      </c>
      <c r="B5458" s="1" t="s">
        <v>28</v>
      </c>
      <c r="C5458" s="1" t="s">
        <v>151</v>
      </c>
      <c r="D5458" s="1">
        <v>1</v>
      </c>
      <c r="E5458" s="1" t="s">
        <v>4</v>
      </c>
      <c r="F5458" s="2">
        <v>20700</v>
      </c>
      <c r="G5458" s="2" t="s">
        <v>667</v>
      </c>
      <c r="H5458" s="1" t="str">
        <f t="shared" si="180"/>
        <v>平成22年2月26日</v>
      </c>
      <c r="I5458" s="22">
        <f t="shared" si="179"/>
        <v>40235</v>
      </c>
      <c r="J5458" s="1" t="str">
        <f>"00739435"</f>
        <v>00739435</v>
      </c>
      <c r="K5458" s="1" t="str">
        <f>"２１５０　　　　　　　　　　　　　　　　"</f>
        <v>２１５０　　　　　　　　　　　　　　　　</v>
      </c>
      <c r="L5458" s="1"/>
    </row>
    <row r="5459" spans="1:12" ht="18" customHeight="1" x14ac:dyDescent="0.15">
      <c r="A5459" s="1">
        <v>1524</v>
      </c>
      <c r="B5459" s="1" t="s">
        <v>28</v>
      </c>
      <c r="C5459" s="1" t="s">
        <v>151</v>
      </c>
      <c r="D5459" s="1">
        <v>1</v>
      </c>
      <c r="E5459" s="1" t="s">
        <v>4</v>
      </c>
      <c r="F5459" s="2">
        <v>20700</v>
      </c>
      <c r="G5459" s="2" t="s">
        <v>667</v>
      </c>
      <c r="H5459" s="1" t="str">
        <f t="shared" si="180"/>
        <v>平成22年2月26日</v>
      </c>
      <c r="I5459" s="22">
        <f t="shared" si="179"/>
        <v>40235</v>
      </c>
      <c r="J5459" s="1" t="str">
        <f>"00739437"</f>
        <v>00739437</v>
      </c>
      <c r="K5459" s="1" t="str">
        <f>"２１５１　　　　　　　　　　　　　　　　"</f>
        <v>２１５１　　　　　　　　　　　　　　　　</v>
      </c>
      <c r="L5459" s="1"/>
    </row>
    <row r="5460" spans="1:12" ht="18" customHeight="1" x14ac:dyDescent="0.15">
      <c r="A5460" s="1">
        <v>1525</v>
      </c>
      <c r="B5460" s="1" t="s">
        <v>28</v>
      </c>
      <c r="C5460" s="1" t="s">
        <v>151</v>
      </c>
      <c r="D5460" s="1">
        <v>1</v>
      </c>
      <c r="E5460" s="1" t="s">
        <v>4</v>
      </c>
      <c r="F5460" s="2">
        <v>20700</v>
      </c>
      <c r="G5460" s="2" t="s">
        <v>667</v>
      </c>
      <c r="H5460" s="1" t="str">
        <f t="shared" si="180"/>
        <v>平成22年2月26日</v>
      </c>
      <c r="I5460" s="22">
        <f t="shared" si="179"/>
        <v>40235</v>
      </c>
      <c r="J5460" s="1" t="str">
        <f>"00739439"</f>
        <v>00739439</v>
      </c>
      <c r="K5460" s="1" t="str">
        <f>"２１５２　　　　　　　　　　　　　　　　"</f>
        <v>２１５２　　　　　　　　　　　　　　　　</v>
      </c>
      <c r="L5460" s="1"/>
    </row>
    <row r="5461" spans="1:12" ht="18" customHeight="1" x14ac:dyDescent="0.15">
      <c r="A5461" s="1">
        <v>1526</v>
      </c>
      <c r="B5461" s="1" t="s">
        <v>28</v>
      </c>
      <c r="C5461" s="1" t="s">
        <v>151</v>
      </c>
      <c r="D5461" s="1">
        <v>1</v>
      </c>
      <c r="E5461" s="1" t="s">
        <v>4</v>
      </c>
      <c r="F5461" s="2">
        <v>20700</v>
      </c>
      <c r="G5461" s="2" t="s">
        <v>667</v>
      </c>
      <c r="H5461" s="1" t="str">
        <f t="shared" si="180"/>
        <v>平成22年2月26日</v>
      </c>
      <c r="I5461" s="22">
        <f t="shared" si="179"/>
        <v>40235</v>
      </c>
      <c r="J5461" s="1" t="str">
        <f>"00739441"</f>
        <v>00739441</v>
      </c>
      <c r="K5461" s="1" t="str">
        <f>"２１５３　　　　　　　　　　　　　　　　"</f>
        <v>２１５３　　　　　　　　　　　　　　　　</v>
      </c>
      <c r="L5461" s="1"/>
    </row>
    <row r="5462" spans="1:12" ht="18" customHeight="1" x14ac:dyDescent="0.15">
      <c r="A5462" s="1">
        <v>1527</v>
      </c>
      <c r="B5462" s="1" t="s">
        <v>28</v>
      </c>
      <c r="C5462" s="1" t="s">
        <v>151</v>
      </c>
      <c r="D5462" s="1">
        <v>1</v>
      </c>
      <c r="E5462" s="1" t="s">
        <v>4</v>
      </c>
      <c r="F5462" s="2">
        <v>20700</v>
      </c>
      <c r="G5462" s="2" t="s">
        <v>667</v>
      </c>
      <c r="H5462" s="1" t="str">
        <f t="shared" si="180"/>
        <v>平成22年2月26日</v>
      </c>
      <c r="I5462" s="22">
        <f t="shared" si="179"/>
        <v>40235</v>
      </c>
      <c r="J5462" s="1" t="str">
        <f>"00739443"</f>
        <v>00739443</v>
      </c>
      <c r="K5462" s="1" t="str">
        <f>"２１５４　　　　　　　　　　　　　　　　"</f>
        <v>２１５４　　　　　　　　　　　　　　　　</v>
      </c>
      <c r="L5462" s="1"/>
    </row>
    <row r="5463" spans="1:12" ht="18" customHeight="1" x14ac:dyDescent="0.15">
      <c r="A5463" s="1">
        <v>1528</v>
      </c>
      <c r="B5463" s="1" t="s">
        <v>28</v>
      </c>
      <c r="C5463" s="1" t="s">
        <v>151</v>
      </c>
      <c r="D5463" s="1">
        <v>1</v>
      </c>
      <c r="E5463" s="1" t="s">
        <v>4</v>
      </c>
      <c r="F5463" s="2">
        <v>20700</v>
      </c>
      <c r="G5463" s="2" t="s">
        <v>667</v>
      </c>
      <c r="H5463" s="1" t="str">
        <f t="shared" si="180"/>
        <v>平成22年2月26日</v>
      </c>
      <c r="I5463" s="22">
        <f t="shared" si="179"/>
        <v>40235</v>
      </c>
      <c r="J5463" s="1" t="str">
        <f>"00739445"</f>
        <v>00739445</v>
      </c>
      <c r="K5463" s="1" t="str">
        <f>"２１５５　　　　　　　　　　　　　　　　"</f>
        <v>２１５５　　　　　　　　　　　　　　　　</v>
      </c>
      <c r="L5463" s="1"/>
    </row>
    <row r="5464" spans="1:12" ht="18" customHeight="1" x14ac:dyDescent="0.15">
      <c r="A5464" s="1">
        <v>1529</v>
      </c>
      <c r="B5464" s="1" t="s">
        <v>28</v>
      </c>
      <c r="C5464" s="1" t="s">
        <v>151</v>
      </c>
      <c r="D5464" s="1">
        <v>1</v>
      </c>
      <c r="E5464" s="1" t="s">
        <v>4</v>
      </c>
      <c r="F5464" s="2">
        <v>20700</v>
      </c>
      <c r="G5464" s="2" t="s">
        <v>667</v>
      </c>
      <c r="H5464" s="1" t="str">
        <f t="shared" si="180"/>
        <v>平成22年2月26日</v>
      </c>
      <c r="I5464" s="22">
        <f t="shared" si="179"/>
        <v>40235</v>
      </c>
      <c r="J5464" s="1" t="str">
        <f>"00739447"</f>
        <v>00739447</v>
      </c>
      <c r="K5464" s="1" t="str">
        <f>"２１５６　　　　　　　　　　　　　　　　"</f>
        <v>２１５６　　　　　　　　　　　　　　　　</v>
      </c>
      <c r="L5464" s="1"/>
    </row>
    <row r="5465" spans="1:12" ht="18" customHeight="1" x14ac:dyDescent="0.15">
      <c r="A5465" s="1">
        <v>1530</v>
      </c>
      <c r="B5465" s="1" t="s">
        <v>28</v>
      </c>
      <c r="C5465" s="1" t="s">
        <v>151</v>
      </c>
      <c r="D5465" s="1">
        <v>1</v>
      </c>
      <c r="E5465" s="1" t="s">
        <v>4</v>
      </c>
      <c r="F5465" s="2">
        <v>20700</v>
      </c>
      <c r="G5465" s="2" t="s">
        <v>667</v>
      </c>
      <c r="H5465" s="1" t="str">
        <f t="shared" si="180"/>
        <v>平成22年2月26日</v>
      </c>
      <c r="I5465" s="22">
        <f t="shared" si="179"/>
        <v>40235</v>
      </c>
      <c r="J5465" s="1" t="str">
        <f>"00739449"</f>
        <v>00739449</v>
      </c>
      <c r="K5465" s="1" t="str">
        <f>"２１５７　　　　　　　　　　　　　　　　"</f>
        <v>２１５７　　　　　　　　　　　　　　　　</v>
      </c>
      <c r="L5465" s="1"/>
    </row>
    <row r="5466" spans="1:12" ht="18" customHeight="1" x14ac:dyDescent="0.15">
      <c r="A5466" s="1">
        <v>1531</v>
      </c>
      <c r="B5466" s="1" t="s">
        <v>28</v>
      </c>
      <c r="C5466" s="1" t="s">
        <v>151</v>
      </c>
      <c r="D5466" s="1">
        <v>1</v>
      </c>
      <c r="E5466" s="1" t="s">
        <v>4</v>
      </c>
      <c r="F5466" s="2">
        <v>20700</v>
      </c>
      <c r="G5466" s="2" t="s">
        <v>667</v>
      </c>
      <c r="H5466" s="1" t="str">
        <f t="shared" si="180"/>
        <v>平成22年2月26日</v>
      </c>
      <c r="I5466" s="22">
        <f t="shared" ref="I5466:I5529" si="181">DATEVALUE(H5466)</f>
        <v>40235</v>
      </c>
      <c r="J5466" s="1" t="str">
        <f>"00739451"</f>
        <v>00739451</v>
      </c>
      <c r="K5466" s="1" t="str">
        <f>"２１５８　　　　　　　　　　　　　　　　"</f>
        <v>２１５８　　　　　　　　　　　　　　　　</v>
      </c>
      <c r="L5466" s="1"/>
    </row>
    <row r="5467" spans="1:12" ht="18" customHeight="1" x14ac:dyDescent="0.15">
      <c r="A5467" s="1">
        <v>1532</v>
      </c>
      <c r="B5467" s="1" t="s">
        <v>28</v>
      </c>
      <c r="C5467" s="1" t="s">
        <v>151</v>
      </c>
      <c r="D5467" s="1">
        <v>1</v>
      </c>
      <c r="E5467" s="1" t="s">
        <v>4</v>
      </c>
      <c r="F5467" s="2">
        <v>20700</v>
      </c>
      <c r="G5467" s="2" t="s">
        <v>667</v>
      </c>
      <c r="H5467" s="1" t="str">
        <f t="shared" si="180"/>
        <v>平成22年2月26日</v>
      </c>
      <c r="I5467" s="22">
        <f t="shared" si="181"/>
        <v>40235</v>
      </c>
      <c r="J5467" s="1" t="str">
        <f>"00739453"</f>
        <v>00739453</v>
      </c>
      <c r="K5467" s="1" t="str">
        <f>"２１５９　　　　　　　　　　　　　　　　"</f>
        <v>２１５９　　　　　　　　　　　　　　　　</v>
      </c>
      <c r="L5467" s="1"/>
    </row>
    <row r="5468" spans="1:12" ht="18" customHeight="1" x14ac:dyDescent="0.15">
      <c r="A5468" s="1">
        <v>1533</v>
      </c>
      <c r="B5468" s="1" t="s">
        <v>28</v>
      </c>
      <c r="C5468" s="1" t="s">
        <v>151</v>
      </c>
      <c r="D5468" s="1">
        <v>1</v>
      </c>
      <c r="E5468" s="1" t="s">
        <v>4</v>
      </c>
      <c r="F5468" s="2">
        <v>20700</v>
      </c>
      <c r="G5468" s="2" t="s">
        <v>667</v>
      </c>
      <c r="H5468" s="1" t="str">
        <f t="shared" si="180"/>
        <v>平成22年2月26日</v>
      </c>
      <c r="I5468" s="22">
        <f t="shared" si="181"/>
        <v>40235</v>
      </c>
      <c r="J5468" s="1" t="str">
        <f>"00739455"</f>
        <v>00739455</v>
      </c>
      <c r="K5468" s="1" t="str">
        <f>"２１６０　　　　　　　　　　　　　　　　"</f>
        <v>２１６０　　　　　　　　　　　　　　　　</v>
      </c>
      <c r="L5468" s="1"/>
    </row>
    <row r="5469" spans="1:12" ht="18" customHeight="1" x14ac:dyDescent="0.15">
      <c r="A5469" s="1">
        <v>1534</v>
      </c>
      <c r="B5469" s="1" t="s">
        <v>28</v>
      </c>
      <c r="C5469" s="1" t="s">
        <v>151</v>
      </c>
      <c r="D5469" s="1">
        <v>1</v>
      </c>
      <c r="E5469" s="1" t="s">
        <v>4</v>
      </c>
      <c r="F5469" s="2">
        <v>20700</v>
      </c>
      <c r="G5469" s="2" t="s">
        <v>667</v>
      </c>
      <c r="H5469" s="1" t="str">
        <f t="shared" si="180"/>
        <v>平成22年2月26日</v>
      </c>
      <c r="I5469" s="22">
        <f t="shared" si="181"/>
        <v>40235</v>
      </c>
      <c r="J5469" s="1" t="str">
        <f>"00739457"</f>
        <v>00739457</v>
      </c>
      <c r="K5469" s="1" t="str">
        <f>"２１６１　　　　　　　　　　　　　　　　"</f>
        <v>２１６１　　　　　　　　　　　　　　　　</v>
      </c>
      <c r="L5469" s="1"/>
    </row>
    <row r="5470" spans="1:12" ht="18" customHeight="1" x14ac:dyDescent="0.15">
      <c r="A5470" s="1">
        <v>1535</v>
      </c>
      <c r="B5470" s="1" t="s">
        <v>28</v>
      </c>
      <c r="C5470" s="1" t="s">
        <v>151</v>
      </c>
      <c r="D5470" s="1">
        <v>1</v>
      </c>
      <c r="E5470" s="1" t="s">
        <v>4</v>
      </c>
      <c r="F5470" s="2">
        <v>20700</v>
      </c>
      <c r="G5470" s="2" t="s">
        <v>667</v>
      </c>
      <c r="H5470" s="1" t="str">
        <f t="shared" si="180"/>
        <v>平成22年2月26日</v>
      </c>
      <c r="I5470" s="22">
        <f t="shared" si="181"/>
        <v>40235</v>
      </c>
      <c r="J5470" s="1" t="str">
        <f>"00739459"</f>
        <v>00739459</v>
      </c>
      <c r="K5470" s="1" t="str">
        <f>"２１６２　　　　　　　　　　　　　　　　"</f>
        <v>２１６２　　　　　　　　　　　　　　　　</v>
      </c>
      <c r="L5470" s="1"/>
    </row>
    <row r="5471" spans="1:12" ht="18" customHeight="1" x14ac:dyDescent="0.15">
      <c r="A5471" s="1">
        <v>1536</v>
      </c>
      <c r="B5471" s="1" t="s">
        <v>28</v>
      </c>
      <c r="C5471" s="1" t="s">
        <v>151</v>
      </c>
      <c r="D5471" s="1">
        <v>1</v>
      </c>
      <c r="E5471" s="1" t="s">
        <v>4</v>
      </c>
      <c r="F5471" s="2">
        <v>20700</v>
      </c>
      <c r="G5471" s="2" t="s">
        <v>667</v>
      </c>
      <c r="H5471" s="1" t="str">
        <f t="shared" si="180"/>
        <v>平成22年2月26日</v>
      </c>
      <c r="I5471" s="22">
        <f t="shared" si="181"/>
        <v>40235</v>
      </c>
      <c r="J5471" s="1" t="str">
        <f>"00739461"</f>
        <v>00739461</v>
      </c>
      <c r="K5471" s="1" t="str">
        <f>"２１６３　　　　　　　　　　　　　　　　"</f>
        <v>２１６３　　　　　　　　　　　　　　　　</v>
      </c>
      <c r="L5471" s="1"/>
    </row>
    <row r="5472" spans="1:12" ht="18" customHeight="1" x14ac:dyDescent="0.15">
      <c r="A5472" s="1">
        <v>1537</v>
      </c>
      <c r="B5472" s="1" t="s">
        <v>28</v>
      </c>
      <c r="C5472" s="1" t="s">
        <v>151</v>
      </c>
      <c r="D5472" s="1">
        <v>1</v>
      </c>
      <c r="E5472" s="1" t="s">
        <v>4</v>
      </c>
      <c r="F5472" s="2">
        <v>20700</v>
      </c>
      <c r="G5472" s="2" t="s">
        <v>667</v>
      </c>
      <c r="H5472" s="1" t="str">
        <f t="shared" si="180"/>
        <v>平成22年2月26日</v>
      </c>
      <c r="I5472" s="22">
        <f t="shared" si="181"/>
        <v>40235</v>
      </c>
      <c r="J5472" s="1" t="str">
        <f>"00739463"</f>
        <v>00739463</v>
      </c>
      <c r="K5472" s="1" t="str">
        <f>"２１６４　　　　　　　　　　　　　　　　"</f>
        <v>２１６４　　　　　　　　　　　　　　　　</v>
      </c>
      <c r="L5472" s="1"/>
    </row>
    <row r="5473" spans="1:12" ht="18" customHeight="1" x14ac:dyDescent="0.15">
      <c r="A5473" s="1">
        <v>1538</v>
      </c>
      <c r="B5473" s="1" t="s">
        <v>28</v>
      </c>
      <c r="C5473" s="1" t="s">
        <v>151</v>
      </c>
      <c r="D5473" s="1">
        <v>1</v>
      </c>
      <c r="E5473" s="1" t="s">
        <v>4</v>
      </c>
      <c r="F5473" s="2">
        <v>20700</v>
      </c>
      <c r="G5473" s="2" t="s">
        <v>667</v>
      </c>
      <c r="H5473" s="1" t="str">
        <f t="shared" si="180"/>
        <v>平成22年2月26日</v>
      </c>
      <c r="I5473" s="22">
        <f t="shared" si="181"/>
        <v>40235</v>
      </c>
      <c r="J5473" s="1" t="str">
        <f>"00739465"</f>
        <v>00739465</v>
      </c>
      <c r="K5473" s="1" t="str">
        <f>"２１６５　　　　　　　　　　　　　　　　"</f>
        <v>２１６５　　　　　　　　　　　　　　　　</v>
      </c>
      <c r="L5473" s="1"/>
    </row>
    <row r="5474" spans="1:12" ht="18" customHeight="1" x14ac:dyDescent="0.15">
      <c r="A5474" s="1">
        <v>1539</v>
      </c>
      <c r="B5474" s="1" t="s">
        <v>28</v>
      </c>
      <c r="C5474" s="1" t="s">
        <v>151</v>
      </c>
      <c r="D5474" s="1">
        <v>1</v>
      </c>
      <c r="E5474" s="1" t="s">
        <v>4</v>
      </c>
      <c r="F5474" s="2">
        <v>20700</v>
      </c>
      <c r="G5474" s="2" t="s">
        <v>667</v>
      </c>
      <c r="H5474" s="1" t="str">
        <f t="shared" si="180"/>
        <v>平成22年2月26日</v>
      </c>
      <c r="I5474" s="22">
        <f t="shared" si="181"/>
        <v>40235</v>
      </c>
      <c r="J5474" s="1" t="str">
        <f>"00739467"</f>
        <v>00739467</v>
      </c>
      <c r="K5474" s="1" t="str">
        <f>"２１６６　　　　　　　　　　　　　　　　"</f>
        <v>２１６６　　　　　　　　　　　　　　　　</v>
      </c>
      <c r="L5474" s="1"/>
    </row>
    <row r="5475" spans="1:12" ht="18" customHeight="1" x14ac:dyDescent="0.15">
      <c r="A5475" s="1">
        <v>1540</v>
      </c>
      <c r="B5475" s="1" t="s">
        <v>28</v>
      </c>
      <c r="C5475" s="1" t="s">
        <v>151</v>
      </c>
      <c r="D5475" s="1">
        <v>1</v>
      </c>
      <c r="E5475" s="1" t="s">
        <v>4</v>
      </c>
      <c r="F5475" s="2">
        <v>20700</v>
      </c>
      <c r="G5475" s="2" t="s">
        <v>667</v>
      </c>
      <c r="H5475" s="1" t="str">
        <f t="shared" si="180"/>
        <v>平成22年2月26日</v>
      </c>
      <c r="I5475" s="22">
        <f t="shared" si="181"/>
        <v>40235</v>
      </c>
      <c r="J5475" s="1" t="str">
        <f>"00739469"</f>
        <v>00739469</v>
      </c>
      <c r="K5475" s="1" t="str">
        <f>"２１６７　　　　　　　　　　　　　　　　"</f>
        <v>２１６７　　　　　　　　　　　　　　　　</v>
      </c>
      <c r="L5475" s="1"/>
    </row>
    <row r="5476" spans="1:12" ht="18" customHeight="1" x14ac:dyDescent="0.15">
      <c r="A5476" s="1">
        <v>1541</v>
      </c>
      <c r="B5476" s="1" t="s">
        <v>28</v>
      </c>
      <c r="C5476" s="1" t="s">
        <v>151</v>
      </c>
      <c r="D5476" s="1">
        <v>1</v>
      </c>
      <c r="E5476" s="1" t="s">
        <v>4</v>
      </c>
      <c r="F5476" s="2">
        <v>20700</v>
      </c>
      <c r="G5476" s="2" t="s">
        <v>667</v>
      </c>
      <c r="H5476" s="1" t="str">
        <f t="shared" si="180"/>
        <v>平成22年2月26日</v>
      </c>
      <c r="I5476" s="22">
        <f t="shared" si="181"/>
        <v>40235</v>
      </c>
      <c r="J5476" s="1" t="str">
        <f>"00739471"</f>
        <v>00739471</v>
      </c>
      <c r="K5476" s="1" t="str">
        <f>"２１６８　　　　　　　　　　　　　　　　"</f>
        <v>２１６８　　　　　　　　　　　　　　　　</v>
      </c>
      <c r="L5476" s="1"/>
    </row>
    <row r="5477" spans="1:12" ht="18" customHeight="1" x14ac:dyDescent="0.15">
      <c r="A5477" s="1">
        <v>1542</v>
      </c>
      <c r="B5477" s="1" t="s">
        <v>28</v>
      </c>
      <c r="C5477" s="1" t="s">
        <v>151</v>
      </c>
      <c r="D5477" s="1">
        <v>1</v>
      </c>
      <c r="E5477" s="1" t="s">
        <v>4</v>
      </c>
      <c r="F5477" s="2">
        <v>20700</v>
      </c>
      <c r="G5477" s="2" t="s">
        <v>667</v>
      </c>
      <c r="H5477" s="1" t="str">
        <f t="shared" ref="H5477:H5540" si="182">"平成22年2月26日"</f>
        <v>平成22年2月26日</v>
      </c>
      <c r="I5477" s="22">
        <f t="shared" si="181"/>
        <v>40235</v>
      </c>
      <c r="J5477" s="1" t="str">
        <f>"00739473"</f>
        <v>00739473</v>
      </c>
      <c r="K5477" s="1" t="str">
        <f>"２１６９　　　　　　　　　　　　　　　　"</f>
        <v>２１６９　　　　　　　　　　　　　　　　</v>
      </c>
      <c r="L5477" s="1"/>
    </row>
    <row r="5478" spans="1:12" ht="18" customHeight="1" x14ac:dyDescent="0.15">
      <c r="A5478" s="1">
        <v>1543</v>
      </c>
      <c r="B5478" s="1" t="s">
        <v>28</v>
      </c>
      <c r="C5478" s="1" t="s">
        <v>151</v>
      </c>
      <c r="D5478" s="1">
        <v>1</v>
      </c>
      <c r="E5478" s="1" t="s">
        <v>4</v>
      </c>
      <c r="F5478" s="2">
        <v>20700</v>
      </c>
      <c r="G5478" s="2" t="s">
        <v>667</v>
      </c>
      <c r="H5478" s="1" t="str">
        <f t="shared" si="182"/>
        <v>平成22年2月26日</v>
      </c>
      <c r="I5478" s="22">
        <f t="shared" si="181"/>
        <v>40235</v>
      </c>
      <c r="J5478" s="1" t="str">
        <f>"00739475"</f>
        <v>00739475</v>
      </c>
      <c r="K5478" s="1" t="str">
        <f>"２１７０　　　　　　　　　　　　　　　　"</f>
        <v>２１７０　　　　　　　　　　　　　　　　</v>
      </c>
      <c r="L5478" s="1"/>
    </row>
    <row r="5479" spans="1:12" ht="18" customHeight="1" x14ac:dyDescent="0.15">
      <c r="A5479" s="1">
        <v>1544</v>
      </c>
      <c r="B5479" s="1" t="s">
        <v>28</v>
      </c>
      <c r="C5479" s="1" t="s">
        <v>151</v>
      </c>
      <c r="D5479" s="1">
        <v>1</v>
      </c>
      <c r="E5479" s="1" t="s">
        <v>4</v>
      </c>
      <c r="F5479" s="2">
        <v>20700</v>
      </c>
      <c r="G5479" s="2" t="s">
        <v>667</v>
      </c>
      <c r="H5479" s="1" t="str">
        <f t="shared" si="182"/>
        <v>平成22年2月26日</v>
      </c>
      <c r="I5479" s="22">
        <f t="shared" si="181"/>
        <v>40235</v>
      </c>
      <c r="J5479" s="1" t="str">
        <f>"00739477"</f>
        <v>00739477</v>
      </c>
      <c r="K5479" s="1" t="str">
        <f>"２１７１　　　　　　　　　　　　　　　　"</f>
        <v>２１７１　　　　　　　　　　　　　　　　</v>
      </c>
      <c r="L5479" s="1"/>
    </row>
    <row r="5480" spans="1:12" ht="18" customHeight="1" x14ac:dyDescent="0.15">
      <c r="A5480" s="1">
        <v>1545</v>
      </c>
      <c r="B5480" s="1" t="s">
        <v>28</v>
      </c>
      <c r="C5480" s="1" t="s">
        <v>151</v>
      </c>
      <c r="D5480" s="1">
        <v>1</v>
      </c>
      <c r="E5480" s="1" t="s">
        <v>4</v>
      </c>
      <c r="F5480" s="2">
        <v>20700</v>
      </c>
      <c r="G5480" s="2" t="s">
        <v>667</v>
      </c>
      <c r="H5480" s="1" t="str">
        <f t="shared" si="182"/>
        <v>平成22年2月26日</v>
      </c>
      <c r="I5480" s="22">
        <f t="shared" si="181"/>
        <v>40235</v>
      </c>
      <c r="J5480" s="1" t="str">
        <f>"00739479"</f>
        <v>00739479</v>
      </c>
      <c r="K5480" s="1" t="str">
        <f>"２１７２　　　　　　　　　　　　　　　　"</f>
        <v>２１７２　　　　　　　　　　　　　　　　</v>
      </c>
      <c r="L5480" s="1"/>
    </row>
    <row r="5481" spans="1:12" ht="18" customHeight="1" x14ac:dyDescent="0.15">
      <c r="A5481" s="1">
        <v>1546</v>
      </c>
      <c r="B5481" s="1" t="s">
        <v>28</v>
      </c>
      <c r="C5481" s="1" t="s">
        <v>151</v>
      </c>
      <c r="D5481" s="1">
        <v>1</v>
      </c>
      <c r="E5481" s="1" t="s">
        <v>4</v>
      </c>
      <c r="F5481" s="2">
        <v>20700</v>
      </c>
      <c r="G5481" s="2" t="s">
        <v>667</v>
      </c>
      <c r="H5481" s="1" t="str">
        <f t="shared" si="182"/>
        <v>平成22年2月26日</v>
      </c>
      <c r="I5481" s="22">
        <f t="shared" si="181"/>
        <v>40235</v>
      </c>
      <c r="J5481" s="1" t="str">
        <f>"00739481"</f>
        <v>00739481</v>
      </c>
      <c r="K5481" s="1" t="str">
        <f>"２１７３　　　　　　　　　　　　　　　　"</f>
        <v>２１７３　　　　　　　　　　　　　　　　</v>
      </c>
      <c r="L5481" s="1"/>
    </row>
    <row r="5482" spans="1:12" ht="18" customHeight="1" x14ac:dyDescent="0.15">
      <c r="A5482" s="1">
        <v>1547</v>
      </c>
      <c r="B5482" s="1" t="s">
        <v>28</v>
      </c>
      <c r="C5482" s="1" t="s">
        <v>151</v>
      </c>
      <c r="D5482" s="1">
        <v>1</v>
      </c>
      <c r="E5482" s="1" t="s">
        <v>4</v>
      </c>
      <c r="F5482" s="2">
        <v>20700</v>
      </c>
      <c r="G5482" s="2" t="s">
        <v>667</v>
      </c>
      <c r="H5482" s="1" t="str">
        <f t="shared" si="182"/>
        <v>平成22年2月26日</v>
      </c>
      <c r="I5482" s="22">
        <f t="shared" si="181"/>
        <v>40235</v>
      </c>
      <c r="J5482" s="1" t="str">
        <f>"00739483"</f>
        <v>00739483</v>
      </c>
      <c r="K5482" s="1" t="str">
        <f>"２１７４　　　　　　　　　　　　　　　　"</f>
        <v>２１７４　　　　　　　　　　　　　　　　</v>
      </c>
      <c r="L5482" s="1"/>
    </row>
    <row r="5483" spans="1:12" ht="18" customHeight="1" x14ac:dyDescent="0.15">
      <c r="A5483" s="1">
        <v>1548</v>
      </c>
      <c r="B5483" s="1" t="s">
        <v>28</v>
      </c>
      <c r="C5483" s="1" t="s">
        <v>151</v>
      </c>
      <c r="D5483" s="1">
        <v>1</v>
      </c>
      <c r="E5483" s="1" t="s">
        <v>4</v>
      </c>
      <c r="F5483" s="2">
        <v>20700</v>
      </c>
      <c r="G5483" s="2" t="s">
        <v>667</v>
      </c>
      <c r="H5483" s="1" t="str">
        <f t="shared" si="182"/>
        <v>平成22年2月26日</v>
      </c>
      <c r="I5483" s="22">
        <f t="shared" si="181"/>
        <v>40235</v>
      </c>
      <c r="J5483" s="1" t="str">
        <f>"00739485"</f>
        <v>00739485</v>
      </c>
      <c r="K5483" s="1" t="str">
        <f>"２１７５　　　　　　　　　　　　　　　　"</f>
        <v>２１７５　　　　　　　　　　　　　　　　</v>
      </c>
      <c r="L5483" s="1"/>
    </row>
    <row r="5484" spans="1:12" ht="18" customHeight="1" x14ac:dyDescent="0.15">
      <c r="A5484" s="1">
        <v>1549</v>
      </c>
      <c r="B5484" s="1" t="s">
        <v>28</v>
      </c>
      <c r="C5484" s="1" t="s">
        <v>151</v>
      </c>
      <c r="D5484" s="1">
        <v>1</v>
      </c>
      <c r="E5484" s="1" t="s">
        <v>4</v>
      </c>
      <c r="F5484" s="2">
        <v>20700</v>
      </c>
      <c r="G5484" s="2" t="s">
        <v>667</v>
      </c>
      <c r="H5484" s="1" t="str">
        <f t="shared" si="182"/>
        <v>平成22年2月26日</v>
      </c>
      <c r="I5484" s="22">
        <f t="shared" si="181"/>
        <v>40235</v>
      </c>
      <c r="J5484" s="1" t="str">
        <f>"00739487"</f>
        <v>00739487</v>
      </c>
      <c r="K5484" s="1" t="str">
        <f>"２１７６　　　　　　　　　　　　　　　　"</f>
        <v>２１７６　　　　　　　　　　　　　　　　</v>
      </c>
      <c r="L5484" s="1"/>
    </row>
    <row r="5485" spans="1:12" ht="18" customHeight="1" x14ac:dyDescent="0.15">
      <c r="A5485" s="1">
        <v>1550</v>
      </c>
      <c r="B5485" s="1" t="s">
        <v>28</v>
      </c>
      <c r="C5485" s="1" t="s">
        <v>151</v>
      </c>
      <c r="D5485" s="1">
        <v>1</v>
      </c>
      <c r="E5485" s="1" t="s">
        <v>4</v>
      </c>
      <c r="F5485" s="2">
        <v>20700</v>
      </c>
      <c r="G5485" s="2" t="s">
        <v>667</v>
      </c>
      <c r="H5485" s="1" t="str">
        <f t="shared" si="182"/>
        <v>平成22年2月26日</v>
      </c>
      <c r="I5485" s="22">
        <f t="shared" si="181"/>
        <v>40235</v>
      </c>
      <c r="J5485" s="1" t="str">
        <f>"00739489"</f>
        <v>00739489</v>
      </c>
      <c r="K5485" s="1" t="str">
        <f>"２１７７　　　　　　　　　　　　　　　　"</f>
        <v>２１７７　　　　　　　　　　　　　　　　</v>
      </c>
      <c r="L5485" s="1"/>
    </row>
    <row r="5486" spans="1:12" ht="18" customHeight="1" x14ac:dyDescent="0.15">
      <c r="A5486" s="1">
        <v>1551</v>
      </c>
      <c r="B5486" s="1" t="s">
        <v>28</v>
      </c>
      <c r="C5486" s="1" t="s">
        <v>151</v>
      </c>
      <c r="D5486" s="1">
        <v>1</v>
      </c>
      <c r="E5486" s="1" t="s">
        <v>4</v>
      </c>
      <c r="F5486" s="2">
        <v>20700</v>
      </c>
      <c r="G5486" s="2" t="s">
        <v>667</v>
      </c>
      <c r="H5486" s="1" t="str">
        <f t="shared" si="182"/>
        <v>平成22年2月26日</v>
      </c>
      <c r="I5486" s="22">
        <f t="shared" si="181"/>
        <v>40235</v>
      </c>
      <c r="J5486" s="1" t="str">
        <f>"00739491"</f>
        <v>00739491</v>
      </c>
      <c r="K5486" s="1" t="str">
        <f>"２１７８　　　　　　　　　　　　　　　　"</f>
        <v>２１７８　　　　　　　　　　　　　　　　</v>
      </c>
      <c r="L5486" s="1"/>
    </row>
    <row r="5487" spans="1:12" ht="18" customHeight="1" x14ac:dyDescent="0.15">
      <c r="A5487" s="1">
        <v>1552</v>
      </c>
      <c r="B5487" s="1" t="s">
        <v>28</v>
      </c>
      <c r="C5487" s="1" t="s">
        <v>151</v>
      </c>
      <c r="D5487" s="1">
        <v>1</v>
      </c>
      <c r="E5487" s="1" t="s">
        <v>4</v>
      </c>
      <c r="F5487" s="2">
        <v>20700</v>
      </c>
      <c r="G5487" s="2" t="s">
        <v>667</v>
      </c>
      <c r="H5487" s="1" t="str">
        <f t="shared" si="182"/>
        <v>平成22年2月26日</v>
      </c>
      <c r="I5487" s="22">
        <f t="shared" si="181"/>
        <v>40235</v>
      </c>
      <c r="J5487" s="1" t="str">
        <f>"00739495"</f>
        <v>00739495</v>
      </c>
      <c r="K5487" s="1" t="str">
        <f>"２１８０　　　　　　　　　　　　　　　　"</f>
        <v>２１８０　　　　　　　　　　　　　　　　</v>
      </c>
      <c r="L5487" s="1"/>
    </row>
    <row r="5488" spans="1:12" ht="18" customHeight="1" x14ac:dyDescent="0.15">
      <c r="A5488" s="1">
        <v>1553</v>
      </c>
      <c r="B5488" s="1" t="s">
        <v>28</v>
      </c>
      <c r="C5488" s="1" t="s">
        <v>151</v>
      </c>
      <c r="D5488" s="1">
        <v>1</v>
      </c>
      <c r="E5488" s="1" t="s">
        <v>4</v>
      </c>
      <c r="F5488" s="2">
        <v>20700</v>
      </c>
      <c r="G5488" s="2" t="s">
        <v>667</v>
      </c>
      <c r="H5488" s="1" t="str">
        <f t="shared" si="182"/>
        <v>平成22年2月26日</v>
      </c>
      <c r="I5488" s="22">
        <f t="shared" si="181"/>
        <v>40235</v>
      </c>
      <c r="J5488" s="1" t="str">
        <f>"00739497"</f>
        <v>00739497</v>
      </c>
      <c r="K5488" s="1" t="str">
        <f>"２１８１　　　　　　　　　　　　　　　　"</f>
        <v>２１８１　　　　　　　　　　　　　　　　</v>
      </c>
      <c r="L5488" s="1"/>
    </row>
    <row r="5489" spans="1:12" ht="18" customHeight="1" x14ac:dyDescent="0.15">
      <c r="A5489" s="1">
        <v>1554</v>
      </c>
      <c r="B5489" s="1" t="s">
        <v>28</v>
      </c>
      <c r="C5489" s="1" t="s">
        <v>151</v>
      </c>
      <c r="D5489" s="1">
        <v>1</v>
      </c>
      <c r="E5489" s="1" t="s">
        <v>4</v>
      </c>
      <c r="F5489" s="2">
        <v>20700</v>
      </c>
      <c r="G5489" s="2" t="s">
        <v>667</v>
      </c>
      <c r="H5489" s="1" t="str">
        <f t="shared" si="182"/>
        <v>平成22年2月26日</v>
      </c>
      <c r="I5489" s="22">
        <f t="shared" si="181"/>
        <v>40235</v>
      </c>
      <c r="J5489" s="1" t="str">
        <f>"00739499"</f>
        <v>00739499</v>
      </c>
      <c r="K5489" s="1" t="str">
        <f>"２１８２　　　　　　　　　　　　　　　　"</f>
        <v>２１８２　　　　　　　　　　　　　　　　</v>
      </c>
      <c r="L5489" s="1"/>
    </row>
    <row r="5490" spans="1:12" ht="18" customHeight="1" x14ac:dyDescent="0.15">
      <c r="A5490" s="1">
        <v>1555</v>
      </c>
      <c r="B5490" s="1" t="s">
        <v>28</v>
      </c>
      <c r="C5490" s="1" t="s">
        <v>151</v>
      </c>
      <c r="D5490" s="1">
        <v>1</v>
      </c>
      <c r="E5490" s="1" t="s">
        <v>4</v>
      </c>
      <c r="F5490" s="2">
        <v>20700</v>
      </c>
      <c r="G5490" s="2" t="s">
        <v>667</v>
      </c>
      <c r="H5490" s="1" t="str">
        <f t="shared" si="182"/>
        <v>平成22年2月26日</v>
      </c>
      <c r="I5490" s="22">
        <f t="shared" si="181"/>
        <v>40235</v>
      </c>
      <c r="J5490" s="1" t="str">
        <f>"00739501"</f>
        <v>00739501</v>
      </c>
      <c r="K5490" s="1" t="str">
        <f>"２１８３　　　　　　　　　　　　　　　　"</f>
        <v>２１８３　　　　　　　　　　　　　　　　</v>
      </c>
      <c r="L5490" s="1"/>
    </row>
    <row r="5491" spans="1:12" ht="18" customHeight="1" x14ac:dyDescent="0.15">
      <c r="A5491" s="1">
        <v>1556</v>
      </c>
      <c r="B5491" s="1" t="s">
        <v>28</v>
      </c>
      <c r="C5491" s="1" t="s">
        <v>151</v>
      </c>
      <c r="D5491" s="1">
        <v>1</v>
      </c>
      <c r="E5491" s="1" t="s">
        <v>4</v>
      </c>
      <c r="F5491" s="2">
        <v>20700</v>
      </c>
      <c r="G5491" s="2" t="s">
        <v>667</v>
      </c>
      <c r="H5491" s="1" t="str">
        <f t="shared" si="182"/>
        <v>平成22年2月26日</v>
      </c>
      <c r="I5491" s="22">
        <f t="shared" si="181"/>
        <v>40235</v>
      </c>
      <c r="J5491" s="1" t="str">
        <f>"00739503"</f>
        <v>00739503</v>
      </c>
      <c r="K5491" s="1" t="str">
        <f>"２１８４　　　　　　　　　　　　　　　　"</f>
        <v>２１８４　　　　　　　　　　　　　　　　</v>
      </c>
      <c r="L5491" s="1"/>
    </row>
    <row r="5492" spans="1:12" ht="18" customHeight="1" x14ac:dyDescent="0.15">
      <c r="A5492" s="1">
        <v>1557</v>
      </c>
      <c r="B5492" s="1" t="s">
        <v>28</v>
      </c>
      <c r="C5492" s="1" t="s">
        <v>151</v>
      </c>
      <c r="D5492" s="1">
        <v>1</v>
      </c>
      <c r="E5492" s="1" t="s">
        <v>4</v>
      </c>
      <c r="F5492" s="2">
        <v>20700</v>
      </c>
      <c r="G5492" s="2" t="s">
        <v>667</v>
      </c>
      <c r="H5492" s="1" t="str">
        <f t="shared" si="182"/>
        <v>平成22年2月26日</v>
      </c>
      <c r="I5492" s="22">
        <f t="shared" si="181"/>
        <v>40235</v>
      </c>
      <c r="J5492" s="1" t="str">
        <f>"00739505"</f>
        <v>00739505</v>
      </c>
      <c r="K5492" s="1" t="str">
        <f>"２１８５　　　　　　　　　　　　　　　　"</f>
        <v>２１８５　　　　　　　　　　　　　　　　</v>
      </c>
      <c r="L5492" s="1"/>
    </row>
    <row r="5493" spans="1:12" ht="18" customHeight="1" x14ac:dyDescent="0.15">
      <c r="A5493" s="1">
        <v>1558</v>
      </c>
      <c r="B5493" s="1" t="s">
        <v>28</v>
      </c>
      <c r="C5493" s="1" t="s">
        <v>151</v>
      </c>
      <c r="D5493" s="1">
        <v>1</v>
      </c>
      <c r="E5493" s="1" t="s">
        <v>4</v>
      </c>
      <c r="F5493" s="2">
        <v>20700</v>
      </c>
      <c r="G5493" s="2" t="s">
        <v>667</v>
      </c>
      <c r="H5493" s="1" t="str">
        <f t="shared" si="182"/>
        <v>平成22年2月26日</v>
      </c>
      <c r="I5493" s="22">
        <f t="shared" si="181"/>
        <v>40235</v>
      </c>
      <c r="J5493" s="1" t="str">
        <f>"00739507"</f>
        <v>00739507</v>
      </c>
      <c r="K5493" s="1" t="str">
        <f>"２１８６　　　　　　　　　　　　　　　　"</f>
        <v>２１８６　　　　　　　　　　　　　　　　</v>
      </c>
      <c r="L5493" s="1"/>
    </row>
    <row r="5494" spans="1:12" ht="18" customHeight="1" x14ac:dyDescent="0.15">
      <c r="A5494" s="1">
        <v>1559</v>
      </c>
      <c r="B5494" s="1" t="s">
        <v>28</v>
      </c>
      <c r="C5494" s="1" t="s">
        <v>151</v>
      </c>
      <c r="D5494" s="1">
        <v>1</v>
      </c>
      <c r="E5494" s="1" t="s">
        <v>4</v>
      </c>
      <c r="F5494" s="2">
        <v>20700</v>
      </c>
      <c r="G5494" s="2" t="s">
        <v>667</v>
      </c>
      <c r="H5494" s="1" t="str">
        <f t="shared" si="182"/>
        <v>平成22年2月26日</v>
      </c>
      <c r="I5494" s="22">
        <f t="shared" si="181"/>
        <v>40235</v>
      </c>
      <c r="J5494" s="1" t="str">
        <f>"00739509"</f>
        <v>00739509</v>
      </c>
      <c r="K5494" s="1" t="str">
        <f>"２１８７　　　　　　　　　　　　　　　　"</f>
        <v>２１８７　　　　　　　　　　　　　　　　</v>
      </c>
      <c r="L5494" s="1"/>
    </row>
    <row r="5495" spans="1:12" ht="18" customHeight="1" x14ac:dyDescent="0.15">
      <c r="A5495" s="1">
        <v>1560</v>
      </c>
      <c r="B5495" s="1" t="s">
        <v>28</v>
      </c>
      <c r="C5495" s="1" t="s">
        <v>151</v>
      </c>
      <c r="D5495" s="1">
        <v>1</v>
      </c>
      <c r="E5495" s="1" t="s">
        <v>4</v>
      </c>
      <c r="F5495" s="2">
        <v>20700</v>
      </c>
      <c r="G5495" s="2" t="s">
        <v>667</v>
      </c>
      <c r="H5495" s="1" t="str">
        <f t="shared" si="182"/>
        <v>平成22年2月26日</v>
      </c>
      <c r="I5495" s="22">
        <f t="shared" si="181"/>
        <v>40235</v>
      </c>
      <c r="J5495" s="1" t="str">
        <f>"00739511"</f>
        <v>00739511</v>
      </c>
      <c r="K5495" s="1" t="str">
        <f>"２１８８　　　　　　　　　　　　　　　　"</f>
        <v>２１８８　　　　　　　　　　　　　　　　</v>
      </c>
      <c r="L5495" s="1"/>
    </row>
    <row r="5496" spans="1:12" ht="18" customHeight="1" x14ac:dyDescent="0.15">
      <c r="A5496" s="1">
        <v>1561</v>
      </c>
      <c r="B5496" s="1" t="s">
        <v>28</v>
      </c>
      <c r="C5496" s="1" t="s">
        <v>151</v>
      </c>
      <c r="D5496" s="1">
        <v>1</v>
      </c>
      <c r="E5496" s="1" t="s">
        <v>4</v>
      </c>
      <c r="F5496" s="2">
        <v>20700</v>
      </c>
      <c r="G5496" s="2" t="s">
        <v>667</v>
      </c>
      <c r="H5496" s="1" t="str">
        <f t="shared" si="182"/>
        <v>平成22年2月26日</v>
      </c>
      <c r="I5496" s="22">
        <f t="shared" si="181"/>
        <v>40235</v>
      </c>
      <c r="J5496" s="1" t="str">
        <f>"00739513"</f>
        <v>00739513</v>
      </c>
      <c r="K5496" s="1" t="str">
        <f>"２１８９　　　　　　　　　　　　　　　　"</f>
        <v>２１８９　　　　　　　　　　　　　　　　</v>
      </c>
      <c r="L5496" s="1"/>
    </row>
    <row r="5497" spans="1:12" ht="18" customHeight="1" x14ac:dyDescent="0.15">
      <c r="A5497" s="1">
        <v>1562</v>
      </c>
      <c r="B5497" s="1" t="s">
        <v>28</v>
      </c>
      <c r="C5497" s="1" t="s">
        <v>151</v>
      </c>
      <c r="D5497" s="1">
        <v>1</v>
      </c>
      <c r="E5497" s="1" t="s">
        <v>4</v>
      </c>
      <c r="F5497" s="2">
        <v>20700</v>
      </c>
      <c r="G5497" s="2" t="s">
        <v>667</v>
      </c>
      <c r="H5497" s="1" t="str">
        <f t="shared" si="182"/>
        <v>平成22年2月26日</v>
      </c>
      <c r="I5497" s="22">
        <f t="shared" si="181"/>
        <v>40235</v>
      </c>
      <c r="J5497" s="1" t="str">
        <f>"00739515"</f>
        <v>00739515</v>
      </c>
      <c r="K5497" s="1" t="str">
        <f>"２１９０　　　　　　　　　　　　　　　　"</f>
        <v>２１９０　　　　　　　　　　　　　　　　</v>
      </c>
      <c r="L5497" s="1"/>
    </row>
    <row r="5498" spans="1:12" ht="18" customHeight="1" x14ac:dyDescent="0.15">
      <c r="A5498" s="1">
        <v>1563</v>
      </c>
      <c r="B5498" s="1" t="s">
        <v>28</v>
      </c>
      <c r="C5498" s="1" t="s">
        <v>151</v>
      </c>
      <c r="D5498" s="1">
        <v>1</v>
      </c>
      <c r="E5498" s="1" t="s">
        <v>4</v>
      </c>
      <c r="F5498" s="2">
        <v>20700</v>
      </c>
      <c r="G5498" s="2" t="s">
        <v>667</v>
      </c>
      <c r="H5498" s="1" t="str">
        <f t="shared" si="182"/>
        <v>平成22年2月26日</v>
      </c>
      <c r="I5498" s="22">
        <f t="shared" si="181"/>
        <v>40235</v>
      </c>
      <c r="J5498" s="1" t="str">
        <f>"00739517"</f>
        <v>00739517</v>
      </c>
      <c r="K5498" s="1" t="str">
        <f>"２１９１　　　　　　　　　　　　　　　　"</f>
        <v>２１９１　　　　　　　　　　　　　　　　</v>
      </c>
      <c r="L5498" s="1"/>
    </row>
    <row r="5499" spans="1:12" ht="18" customHeight="1" x14ac:dyDescent="0.15">
      <c r="A5499" s="1">
        <v>1564</v>
      </c>
      <c r="B5499" s="1" t="s">
        <v>28</v>
      </c>
      <c r="C5499" s="1" t="s">
        <v>151</v>
      </c>
      <c r="D5499" s="1">
        <v>1</v>
      </c>
      <c r="E5499" s="1" t="s">
        <v>4</v>
      </c>
      <c r="F5499" s="2">
        <v>20700</v>
      </c>
      <c r="G5499" s="2" t="s">
        <v>667</v>
      </c>
      <c r="H5499" s="1" t="str">
        <f t="shared" si="182"/>
        <v>平成22年2月26日</v>
      </c>
      <c r="I5499" s="22">
        <f t="shared" si="181"/>
        <v>40235</v>
      </c>
      <c r="J5499" s="1" t="str">
        <f>"00739519"</f>
        <v>00739519</v>
      </c>
      <c r="K5499" s="1" t="str">
        <f>"２１９２　　　　　　　　　　　　　　　　"</f>
        <v>２１９２　　　　　　　　　　　　　　　　</v>
      </c>
      <c r="L5499" s="1"/>
    </row>
    <row r="5500" spans="1:12" ht="18" customHeight="1" x14ac:dyDescent="0.15">
      <c r="A5500" s="1">
        <v>1565</v>
      </c>
      <c r="B5500" s="1" t="s">
        <v>28</v>
      </c>
      <c r="C5500" s="1" t="s">
        <v>151</v>
      </c>
      <c r="D5500" s="1">
        <v>1</v>
      </c>
      <c r="E5500" s="1" t="s">
        <v>4</v>
      </c>
      <c r="F5500" s="2">
        <v>20700</v>
      </c>
      <c r="G5500" s="2" t="s">
        <v>667</v>
      </c>
      <c r="H5500" s="1" t="str">
        <f t="shared" si="182"/>
        <v>平成22年2月26日</v>
      </c>
      <c r="I5500" s="22">
        <f t="shared" si="181"/>
        <v>40235</v>
      </c>
      <c r="J5500" s="1" t="str">
        <f>"00739521"</f>
        <v>00739521</v>
      </c>
      <c r="K5500" s="1" t="str">
        <f>"２１９３　　　　　　　　　　　　　　　　"</f>
        <v>２１９３　　　　　　　　　　　　　　　　</v>
      </c>
      <c r="L5500" s="1"/>
    </row>
    <row r="5501" spans="1:12" ht="18" customHeight="1" x14ac:dyDescent="0.15">
      <c r="A5501" s="1">
        <v>1566</v>
      </c>
      <c r="B5501" s="1" t="s">
        <v>28</v>
      </c>
      <c r="C5501" s="1" t="s">
        <v>151</v>
      </c>
      <c r="D5501" s="1">
        <v>1</v>
      </c>
      <c r="E5501" s="1" t="s">
        <v>4</v>
      </c>
      <c r="F5501" s="2">
        <v>20700</v>
      </c>
      <c r="G5501" s="2" t="s">
        <v>667</v>
      </c>
      <c r="H5501" s="1" t="str">
        <f t="shared" si="182"/>
        <v>平成22年2月26日</v>
      </c>
      <c r="I5501" s="22">
        <f t="shared" si="181"/>
        <v>40235</v>
      </c>
      <c r="J5501" s="1" t="str">
        <f>"00739523"</f>
        <v>00739523</v>
      </c>
      <c r="K5501" s="1" t="str">
        <f>"２１９４　　　　　　　　　　　　　　　　"</f>
        <v>２１９４　　　　　　　　　　　　　　　　</v>
      </c>
      <c r="L5501" s="1"/>
    </row>
    <row r="5502" spans="1:12" ht="18" customHeight="1" x14ac:dyDescent="0.15">
      <c r="A5502" s="1">
        <v>1567</v>
      </c>
      <c r="B5502" s="1" t="s">
        <v>28</v>
      </c>
      <c r="C5502" s="1" t="s">
        <v>151</v>
      </c>
      <c r="D5502" s="1">
        <v>1</v>
      </c>
      <c r="E5502" s="1" t="s">
        <v>4</v>
      </c>
      <c r="F5502" s="2">
        <v>20700</v>
      </c>
      <c r="G5502" s="2" t="s">
        <v>667</v>
      </c>
      <c r="H5502" s="1" t="str">
        <f t="shared" si="182"/>
        <v>平成22年2月26日</v>
      </c>
      <c r="I5502" s="22">
        <f t="shared" si="181"/>
        <v>40235</v>
      </c>
      <c r="J5502" s="1" t="str">
        <f>"00739525"</f>
        <v>00739525</v>
      </c>
      <c r="K5502" s="1" t="str">
        <f>"２１９５　　　　　　　　　　　　　　　　"</f>
        <v>２１９５　　　　　　　　　　　　　　　　</v>
      </c>
      <c r="L5502" s="1"/>
    </row>
    <row r="5503" spans="1:12" ht="18" customHeight="1" x14ac:dyDescent="0.15">
      <c r="A5503" s="1">
        <v>1568</v>
      </c>
      <c r="B5503" s="1" t="s">
        <v>28</v>
      </c>
      <c r="C5503" s="1" t="s">
        <v>151</v>
      </c>
      <c r="D5503" s="1">
        <v>1</v>
      </c>
      <c r="E5503" s="1" t="s">
        <v>4</v>
      </c>
      <c r="F5503" s="2">
        <v>20700</v>
      </c>
      <c r="G5503" s="2" t="s">
        <v>667</v>
      </c>
      <c r="H5503" s="1" t="str">
        <f t="shared" si="182"/>
        <v>平成22年2月26日</v>
      </c>
      <c r="I5503" s="22">
        <f t="shared" si="181"/>
        <v>40235</v>
      </c>
      <c r="J5503" s="1" t="str">
        <f>"00739527"</f>
        <v>00739527</v>
      </c>
      <c r="K5503" s="1" t="str">
        <f>"２１９６　　　　　　　　　　　　　　　　"</f>
        <v>２１９６　　　　　　　　　　　　　　　　</v>
      </c>
      <c r="L5503" s="1"/>
    </row>
    <row r="5504" spans="1:12" ht="18" customHeight="1" x14ac:dyDescent="0.15">
      <c r="A5504" s="1">
        <v>1569</v>
      </c>
      <c r="B5504" s="1" t="s">
        <v>28</v>
      </c>
      <c r="C5504" s="1" t="s">
        <v>151</v>
      </c>
      <c r="D5504" s="1">
        <v>1</v>
      </c>
      <c r="E5504" s="1" t="s">
        <v>4</v>
      </c>
      <c r="F5504" s="2">
        <v>20700</v>
      </c>
      <c r="G5504" s="2" t="s">
        <v>667</v>
      </c>
      <c r="H5504" s="1" t="str">
        <f t="shared" si="182"/>
        <v>平成22年2月26日</v>
      </c>
      <c r="I5504" s="22">
        <f t="shared" si="181"/>
        <v>40235</v>
      </c>
      <c r="J5504" s="1" t="str">
        <f>"00739529"</f>
        <v>00739529</v>
      </c>
      <c r="K5504" s="1" t="str">
        <f>"２１９７　　　　　　　　　　　　　　　　"</f>
        <v>２１９７　　　　　　　　　　　　　　　　</v>
      </c>
      <c r="L5504" s="1"/>
    </row>
    <row r="5505" spans="1:12" ht="18" customHeight="1" x14ac:dyDescent="0.15">
      <c r="A5505" s="1">
        <v>1570</v>
      </c>
      <c r="B5505" s="1" t="s">
        <v>28</v>
      </c>
      <c r="C5505" s="1" t="s">
        <v>151</v>
      </c>
      <c r="D5505" s="1">
        <v>1</v>
      </c>
      <c r="E5505" s="1" t="s">
        <v>4</v>
      </c>
      <c r="F5505" s="2">
        <v>20700</v>
      </c>
      <c r="G5505" s="2" t="s">
        <v>667</v>
      </c>
      <c r="H5505" s="1" t="str">
        <f t="shared" si="182"/>
        <v>平成22年2月26日</v>
      </c>
      <c r="I5505" s="22">
        <f t="shared" si="181"/>
        <v>40235</v>
      </c>
      <c r="J5505" s="1" t="str">
        <f>"00739531"</f>
        <v>00739531</v>
      </c>
      <c r="K5505" s="1" t="str">
        <f>"２１９８　　　　　　　　　　　　　　　　"</f>
        <v>２１９８　　　　　　　　　　　　　　　　</v>
      </c>
      <c r="L5505" s="1"/>
    </row>
    <row r="5506" spans="1:12" ht="18" customHeight="1" x14ac:dyDescent="0.15">
      <c r="A5506" s="1">
        <v>1571</v>
      </c>
      <c r="B5506" s="1" t="s">
        <v>28</v>
      </c>
      <c r="C5506" s="1" t="s">
        <v>151</v>
      </c>
      <c r="D5506" s="1">
        <v>1</v>
      </c>
      <c r="E5506" s="1" t="s">
        <v>4</v>
      </c>
      <c r="F5506" s="2">
        <v>20700</v>
      </c>
      <c r="G5506" s="2" t="s">
        <v>667</v>
      </c>
      <c r="H5506" s="1" t="str">
        <f t="shared" si="182"/>
        <v>平成22年2月26日</v>
      </c>
      <c r="I5506" s="22">
        <f t="shared" si="181"/>
        <v>40235</v>
      </c>
      <c r="J5506" s="1" t="str">
        <f>"00739533"</f>
        <v>00739533</v>
      </c>
      <c r="K5506" s="1" t="str">
        <f>"２１９９　　　　　　　　　　　　　　　　"</f>
        <v>２１９９　　　　　　　　　　　　　　　　</v>
      </c>
      <c r="L5506" s="1"/>
    </row>
    <row r="5507" spans="1:12" ht="18" customHeight="1" x14ac:dyDescent="0.15">
      <c r="A5507" s="1">
        <v>1572</v>
      </c>
      <c r="B5507" s="1" t="s">
        <v>28</v>
      </c>
      <c r="C5507" s="1" t="s">
        <v>151</v>
      </c>
      <c r="D5507" s="1">
        <v>1</v>
      </c>
      <c r="E5507" s="1" t="s">
        <v>4</v>
      </c>
      <c r="F5507" s="2">
        <v>20700</v>
      </c>
      <c r="G5507" s="2" t="s">
        <v>667</v>
      </c>
      <c r="H5507" s="1" t="str">
        <f t="shared" si="182"/>
        <v>平成22年2月26日</v>
      </c>
      <c r="I5507" s="22">
        <f t="shared" si="181"/>
        <v>40235</v>
      </c>
      <c r="J5507" s="1" t="str">
        <f>"00739535"</f>
        <v>00739535</v>
      </c>
      <c r="K5507" s="1" t="str">
        <f>"２２００　　　　　　　　　　　　　　　　"</f>
        <v>２２００　　　　　　　　　　　　　　　　</v>
      </c>
      <c r="L5507" s="1"/>
    </row>
    <row r="5508" spans="1:12" ht="18" customHeight="1" x14ac:dyDescent="0.15">
      <c r="A5508" s="1">
        <v>1573</v>
      </c>
      <c r="B5508" s="1" t="s">
        <v>28</v>
      </c>
      <c r="C5508" s="1" t="s">
        <v>151</v>
      </c>
      <c r="D5508" s="1">
        <v>1</v>
      </c>
      <c r="E5508" s="1" t="s">
        <v>4</v>
      </c>
      <c r="F5508" s="2">
        <v>20700</v>
      </c>
      <c r="G5508" s="2" t="s">
        <v>667</v>
      </c>
      <c r="H5508" s="1" t="str">
        <f t="shared" si="182"/>
        <v>平成22年2月26日</v>
      </c>
      <c r="I5508" s="22">
        <f t="shared" si="181"/>
        <v>40235</v>
      </c>
      <c r="J5508" s="1" t="str">
        <f>"00739537"</f>
        <v>00739537</v>
      </c>
      <c r="K5508" s="1" t="str">
        <f>"２２０１　　　　　　　　　　　　　　　　"</f>
        <v>２２０１　　　　　　　　　　　　　　　　</v>
      </c>
      <c r="L5508" s="1"/>
    </row>
    <row r="5509" spans="1:12" ht="18" customHeight="1" x14ac:dyDescent="0.15">
      <c r="A5509" s="1">
        <v>1574</v>
      </c>
      <c r="B5509" s="1" t="s">
        <v>28</v>
      </c>
      <c r="C5509" s="1" t="s">
        <v>151</v>
      </c>
      <c r="D5509" s="1">
        <v>1</v>
      </c>
      <c r="E5509" s="1" t="s">
        <v>4</v>
      </c>
      <c r="F5509" s="2">
        <v>20700</v>
      </c>
      <c r="G5509" s="2" t="s">
        <v>667</v>
      </c>
      <c r="H5509" s="1" t="str">
        <f t="shared" si="182"/>
        <v>平成22年2月26日</v>
      </c>
      <c r="I5509" s="22">
        <f t="shared" si="181"/>
        <v>40235</v>
      </c>
      <c r="J5509" s="1" t="str">
        <f>"00739539"</f>
        <v>00739539</v>
      </c>
      <c r="K5509" s="1" t="str">
        <f>"２２０２　　　　　　　　　　　　　　　　"</f>
        <v>２２０２　　　　　　　　　　　　　　　　</v>
      </c>
      <c r="L5509" s="1"/>
    </row>
    <row r="5510" spans="1:12" ht="18" customHeight="1" x14ac:dyDescent="0.15">
      <c r="A5510" s="1">
        <v>1575</v>
      </c>
      <c r="B5510" s="1" t="s">
        <v>28</v>
      </c>
      <c r="C5510" s="1" t="s">
        <v>151</v>
      </c>
      <c r="D5510" s="1">
        <v>1</v>
      </c>
      <c r="E5510" s="1" t="s">
        <v>4</v>
      </c>
      <c r="F5510" s="2">
        <v>20700</v>
      </c>
      <c r="G5510" s="2" t="s">
        <v>667</v>
      </c>
      <c r="H5510" s="1" t="str">
        <f t="shared" si="182"/>
        <v>平成22年2月26日</v>
      </c>
      <c r="I5510" s="22">
        <f t="shared" si="181"/>
        <v>40235</v>
      </c>
      <c r="J5510" s="1" t="str">
        <f>"00739541"</f>
        <v>00739541</v>
      </c>
      <c r="K5510" s="1" t="str">
        <f>"２２０３　　　　　　　　　　　　　　　　"</f>
        <v>２２０３　　　　　　　　　　　　　　　　</v>
      </c>
      <c r="L5510" s="1"/>
    </row>
    <row r="5511" spans="1:12" ht="18" customHeight="1" x14ac:dyDescent="0.15">
      <c r="A5511" s="1">
        <v>1576</v>
      </c>
      <c r="B5511" s="1" t="s">
        <v>28</v>
      </c>
      <c r="C5511" s="1" t="s">
        <v>151</v>
      </c>
      <c r="D5511" s="1">
        <v>1</v>
      </c>
      <c r="E5511" s="1" t="s">
        <v>4</v>
      </c>
      <c r="F5511" s="2">
        <v>20700</v>
      </c>
      <c r="G5511" s="2" t="s">
        <v>667</v>
      </c>
      <c r="H5511" s="1" t="str">
        <f t="shared" si="182"/>
        <v>平成22年2月26日</v>
      </c>
      <c r="I5511" s="22">
        <f t="shared" si="181"/>
        <v>40235</v>
      </c>
      <c r="J5511" s="1" t="str">
        <f>"00739543"</f>
        <v>00739543</v>
      </c>
      <c r="K5511" s="1" t="str">
        <f>"２２０４　　　　　　　　　　　　　　　　"</f>
        <v>２２０４　　　　　　　　　　　　　　　　</v>
      </c>
      <c r="L5511" s="1"/>
    </row>
    <row r="5512" spans="1:12" ht="18" customHeight="1" x14ac:dyDescent="0.15">
      <c r="A5512" s="1">
        <v>1577</v>
      </c>
      <c r="B5512" s="1" t="s">
        <v>28</v>
      </c>
      <c r="C5512" s="1" t="s">
        <v>151</v>
      </c>
      <c r="D5512" s="1">
        <v>1</v>
      </c>
      <c r="E5512" s="1" t="s">
        <v>4</v>
      </c>
      <c r="F5512" s="2">
        <v>20700</v>
      </c>
      <c r="G5512" s="2" t="s">
        <v>667</v>
      </c>
      <c r="H5512" s="1" t="str">
        <f t="shared" si="182"/>
        <v>平成22年2月26日</v>
      </c>
      <c r="I5512" s="22">
        <f t="shared" si="181"/>
        <v>40235</v>
      </c>
      <c r="J5512" s="1" t="str">
        <f>"00739545"</f>
        <v>00739545</v>
      </c>
      <c r="K5512" s="1" t="str">
        <f>"２２０５　　　　　　　　　　　　　　　　"</f>
        <v>２２０５　　　　　　　　　　　　　　　　</v>
      </c>
      <c r="L5512" s="1"/>
    </row>
    <row r="5513" spans="1:12" ht="18" customHeight="1" x14ac:dyDescent="0.15">
      <c r="A5513" s="1">
        <v>1578</v>
      </c>
      <c r="B5513" s="1" t="s">
        <v>28</v>
      </c>
      <c r="C5513" s="1" t="s">
        <v>151</v>
      </c>
      <c r="D5513" s="1">
        <v>1</v>
      </c>
      <c r="E5513" s="1" t="s">
        <v>4</v>
      </c>
      <c r="F5513" s="2">
        <v>20700</v>
      </c>
      <c r="G5513" s="2" t="s">
        <v>667</v>
      </c>
      <c r="H5513" s="1" t="str">
        <f t="shared" si="182"/>
        <v>平成22年2月26日</v>
      </c>
      <c r="I5513" s="22">
        <f t="shared" si="181"/>
        <v>40235</v>
      </c>
      <c r="J5513" s="1" t="str">
        <f>"00739547"</f>
        <v>00739547</v>
      </c>
      <c r="K5513" s="1" t="str">
        <f>"２２０６　　　　　　　　　　　　　　　　"</f>
        <v>２２０６　　　　　　　　　　　　　　　　</v>
      </c>
      <c r="L5513" s="1"/>
    </row>
    <row r="5514" spans="1:12" ht="18" customHeight="1" x14ac:dyDescent="0.15">
      <c r="A5514" s="1">
        <v>1579</v>
      </c>
      <c r="B5514" s="1" t="s">
        <v>28</v>
      </c>
      <c r="C5514" s="1" t="s">
        <v>151</v>
      </c>
      <c r="D5514" s="1">
        <v>1</v>
      </c>
      <c r="E5514" s="1" t="s">
        <v>4</v>
      </c>
      <c r="F5514" s="2">
        <v>20700</v>
      </c>
      <c r="G5514" s="2" t="s">
        <v>667</v>
      </c>
      <c r="H5514" s="1" t="str">
        <f t="shared" si="182"/>
        <v>平成22年2月26日</v>
      </c>
      <c r="I5514" s="22">
        <f t="shared" si="181"/>
        <v>40235</v>
      </c>
      <c r="J5514" s="1" t="str">
        <f>"00739549"</f>
        <v>00739549</v>
      </c>
      <c r="K5514" s="1" t="str">
        <f>"２２０７　　　　　　　　　　　　　　　　"</f>
        <v>２２０７　　　　　　　　　　　　　　　　</v>
      </c>
      <c r="L5514" s="1"/>
    </row>
    <row r="5515" spans="1:12" ht="18" customHeight="1" x14ac:dyDescent="0.15">
      <c r="A5515" s="1">
        <v>1580</v>
      </c>
      <c r="B5515" s="1" t="s">
        <v>28</v>
      </c>
      <c r="C5515" s="1" t="s">
        <v>151</v>
      </c>
      <c r="D5515" s="1">
        <v>1</v>
      </c>
      <c r="E5515" s="1" t="s">
        <v>4</v>
      </c>
      <c r="F5515" s="2">
        <v>20700</v>
      </c>
      <c r="G5515" s="2" t="s">
        <v>667</v>
      </c>
      <c r="H5515" s="1" t="str">
        <f t="shared" si="182"/>
        <v>平成22年2月26日</v>
      </c>
      <c r="I5515" s="22">
        <f t="shared" si="181"/>
        <v>40235</v>
      </c>
      <c r="J5515" s="1" t="str">
        <f>"00739551"</f>
        <v>00739551</v>
      </c>
      <c r="K5515" s="1" t="str">
        <f>"２２０８　　　　　　　　　　　　　　　　"</f>
        <v>２２０８　　　　　　　　　　　　　　　　</v>
      </c>
      <c r="L5515" s="1"/>
    </row>
    <row r="5516" spans="1:12" ht="18" customHeight="1" x14ac:dyDescent="0.15">
      <c r="A5516" s="1">
        <v>1581</v>
      </c>
      <c r="B5516" s="1" t="s">
        <v>28</v>
      </c>
      <c r="C5516" s="1" t="s">
        <v>151</v>
      </c>
      <c r="D5516" s="1">
        <v>1</v>
      </c>
      <c r="E5516" s="1" t="s">
        <v>4</v>
      </c>
      <c r="F5516" s="2">
        <v>20700</v>
      </c>
      <c r="G5516" s="2" t="s">
        <v>667</v>
      </c>
      <c r="H5516" s="1" t="str">
        <f t="shared" si="182"/>
        <v>平成22年2月26日</v>
      </c>
      <c r="I5516" s="22">
        <f t="shared" si="181"/>
        <v>40235</v>
      </c>
      <c r="J5516" s="1" t="str">
        <f>"00739553"</f>
        <v>00739553</v>
      </c>
      <c r="K5516" s="1" t="str">
        <f>"２２０９　　　　　　　　　　　　　　　　"</f>
        <v>２２０９　　　　　　　　　　　　　　　　</v>
      </c>
      <c r="L5516" s="1"/>
    </row>
    <row r="5517" spans="1:12" ht="18" customHeight="1" x14ac:dyDescent="0.15">
      <c r="A5517" s="1">
        <v>1582</v>
      </c>
      <c r="B5517" s="1" t="s">
        <v>28</v>
      </c>
      <c r="C5517" s="1" t="s">
        <v>151</v>
      </c>
      <c r="D5517" s="1">
        <v>1</v>
      </c>
      <c r="E5517" s="1" t="s">
        <v>4</v>
      </c>
      <c r="F5517" s="2">
        <v>20700</v>
      </c>
      <c r="G5517" s="2" t="s">
        <v>667</v>
      </c>
      <c r="H5517" s="1" t="str">
        <f t="shared" si="182"/>
        <v>平成22年2月26日</v>
      </c>
      <c r="I5517" s="22">
        <f t="shared" si="181"/>
        <v>40235</v>
      </c>
      <c r="J5517" s="1" t="str">
        <f>"00739555"</f>
        <v>00739555</v>
      </c>
      <c r="K5517" s="1" t="str">
        <f>"２２１０　　　　　　　　　　　　　　　　"</f>
        <v>２２１０　　　　　　　　　　　　　　　　</v>
      </c>
      <c r="L5517" s="1"/>
    </row>
    <row r="5518" spans="1:12" ht="18" customHeight="1" x14ac:dyDescent="0.15">
      <c r="A5518" s="1">
        <v>1583</v>
      </c>
      <c r="B5518" s="1" t="s">
        <v>28</v>
      </c>
      <c r="C5518" s="1" t="s">
        <v>151</v>
      </c>
      <c r="D5518" s="1">
        <v>1</v>
      </c>
      <c r="E5518" s="1" t="s">
        <v>4</v>
      </c>
      <c r="F5518" s="2">
        <v>20700</v>
      </c>
      <c r="G5518" s="2" t="s">
        <v>667</v>
      </c>
      <c r="H5518" s="1" t="str">
        <f t="shared" si="182"/>
        <v>平成22年2月26日</v>
      </c>
      <c r="I5518" s="22">
        <f t="shared" si="181"/>
        <v>40235</v>
      </c>
      <c r="J5518" s="1" t="str">
        <f>"00739557"</f>
        <v>00739557</v>
      </c>
      <c r="K5518" s="1" t="str">
        <f>"２２１１　　　　　　　　　　　　　　　　"</f>
        <v>２２１１　　　　　　　　　　　　　　　　</v>
      </c>
      <c r="L5518" s="1"/>
    </row>
    <row r="5519" spans="1:12" ht="18" customHeight="1" x14ac:dyDescent="0.15">
      <c r="A5519" s="1">
        <v>1584</v>
      </c>
      <c r="B5519" s="1" t="s">
        <v>28</v>
      </c>
      <c r="C5519" s="1" t="s">
        <v>151</v>
      </c>
      <c r="D5519" s="1">
        <v>1</v>
      </c>
      <c r="E5519" s="1" t="s">
        <v>4</v>
      </c>
      <c r="F5519" s="2">
        <v>20700</v>
      </c>
      <c r="G5519" s="2" t="s">
        <v>667</v>
      </c>
      <c r="H5519" s="1" t="str">
        <f t="shared" si="182"/>
        <v>平成22年2月26日</v>
      </c>
      <c r="I5519" s="22">
        <f t="shared" si="181"/>
        <v>40235</v>
      </c>
      <c r="J5519" s="1" t="str">
        <f>"00739559"</f>
        <v>00739559</v>
      </c>
      <c r="K5519" s="1" t="str">
        <f>"２２１２　　　　　　　　　　　　　　　　"</f>
        <v>２２１２　　　　　　　　　　　　　　　　</v>
      </c>
      <c r="L5519" s="1"/>
    </row>
    <row r="5520" spans="1:12" ht="18" customHeight="1" x14ac:dyDescent="0.15">
      <c r="A5520" s="1">
        <v>1585</v>
      </c>
      <c r="B5520" s="1" t="s">
        <v>28</v>
      </c>
      <c r="C5520" s="1" t="s">
        <v>151</v>
      </c>
      <c r="D5520" s="1">
        <v>1</v>
      </c>
      <c r="E5520" s="1" t="s">
        <v>4</v>
      </c>
      <c r="F5520" s="2">
        <v>20700</v>
      </c>
      <c r="G5520" s="2" t="s">
        <v>667</v>
      </c>
      <c r="H5520" s="1" t="str">
        <f t="shared" si="182"/>
        <v>平成22年2月26日</v>
      </c>
      <c r="I5520" s="22">
        <f t="shared" si="181"/>
        <v>40235</v>
      </c>
      <c r="J5520" s="1" t="str">
        <f>"00739561"</f>
        <v>00739561</v>
      </c>
      <c r="K5520" s="1" t="str">
        <f>"２２１３　　　　　　　　　　　　　　　　"</f>
        <v>２２１３　　　　　　　　　　　　　　　　</v>
      </c>
      <c r="L5520" s="1"/>
    </row>
    <row r="5521" spans="1:12" ht="18" customHeight="1" x14ac:dyDescent="0.15">
      <c r="A5521" s="1">
        <v>1586</v>
      </c>
      <c r="B5521" s="1" t="s">
        <v>28</v>
      </c>
      <c r="C5521" s="1" t="s">
        <v>151</v>
      </c>
      <c r="D5521" s="1">
        <v>1</v>
      </c>
      <c r="E5521" s="1" t="s">
        <v>4</v>
      </c>
      <c r="F5521" s="2">
        <v>20700</v>
      </c>
      <c r="G5521" s="2" t="s">
        <v>667</v>
      </c>
      <c r="H5521" s="1" t="str">
        <f t="shared" si="182"/>
        <v>平成22年2月26日</v>
      </c>
      <c r="I5521" s="22">
        <f t="shared" si="181"/>
        <v>40235</v>
      </c>
      <c r="J5521" s="1" t="str">
        <f>"00739563"</f>
        <v>00739563</v>
      </c>
      <c r="K5521" s="1" t="str">
        <f>"２２１４　　　　　　　　　　　　　　　　"</f>
        <v>２２１４　　　　　　　　　　　　　　　　</v>
      </c>
      <c r="L5521" s="1"/>
    </row>
    <row r="5522" spans="1:12" ht="18" customHeight="1" x14ac:dyDescent="0.15">
      <c r="A5522" s="1">
        <v>1587</v>
      </c>
      <c r="B5522" s="1" t="s">
        <v>28</v>
      </c>
      <c r="C5522" s="1" t="s">
        <v>151</v>
      </c>
      <c r="D5522" s="1">
        <v>1</v>
      </c>
      <c r="E5522" s="1" t="s">
        <v>4</v>
      </c>
      <c r="F5522" s="2">
        <v>20700</v>
      </c>
      <c r="G5522" s="2" t="s">
        <v>667</v>
      </c>
      <c r="H5522" s="1" t="str">
        <f t="shared" si="182"/>
        <v>平成22年2月26日</v>
      </c>
      <c r="I5522" s="22">
        <f t="shared" si="181"/>
        <v>40235</v>
      </c>
      <c r="J5522" s="1" t="str">
        <f>"00739565"</f>
        <v>00739565</v>
      </c>
      <c r="K5522" s="1" t="str">
        <f>"２２１５　　　　　　　　　　　　　　　　"</f>
        <v>２２１５　　　　　　　　　　　　　　　　</v>
      </c>
      <c r="L5522" s="1"/>
    </row>
    <row r="5523" spans="1:12" ht="18" customHeight="1" x14ac:dyDescent="0.15">
      <c r="A5523" s="1">
        <v>1588</v>
      </c>
      <c r="B5523" s="1" t="s">
        <v>28</v>
      </c>
      <c r="C5523" s="1" t="s">
        <v>151</v>
      </c>
      <c r="D5523" s="1">
        <v>1</v>
      </c>
      <c r="E5523" s="1" t="s">
        <v>4</v>
      </c>
      <c r="F5523" s="2">
        <v>20700</v>
      </c>
      <c r="G5523" s="2" t="s">
        <v>667</v>
      </c>
      <c r="H5523" s="1" t="str">
        <f t="shared" si="182"/>
        <v>平成22年2月26日</v>
      </c>
      <c r="I5523" s="22">
        <f t="shared" si="181"/>
        <v>40235</v>
      </c>
      <c r="J5523" s="1" t="str">
        <f>"00739567"</f>
        <v>00739567</v>
      </c>
      <c r="K5523" s="1" t="str">
        <f>"２２１６　　　　　　　　　　　　　　　　"</f>
        <v>２２１６　　　　　　　　　　　　　　　　</v>
      </c>
      <c r="L5523" s="1"/>
    </row>
    <row r="5524" spans="1:12" ht="18" customHeight="1" x14ac:dyDescent="0.15">
      <c r="A5524" s="1">
        <v>1589</v>
      </c>
      <c r="B5524" s="1" t="s">
        <v>28</v>
      </c>
      <c r="C5524" s="1" t="s">
        <v>151</v>
      </c>
      <c r="D5524" s="1">
        <v>1</v>
      </c>
      <c r="E5524" s="1" t="s">
        <v>4</v>
      </c>
      <c r="F5524" s="2">
        <v>20700</v>
      </c>
      <c r="G5524" s="2" t="s">
        <v>667</v>
      </c>
      <c r="H5524" s="1" t="str">
        <f t="shared" si="182"/>
        <v>平成22年2月26日</v>
      </c>
      <c r="I5524" s="22">
        <f t="shared" si="181"/>
        <v>40235</v>
      </c>
      <c r="J5524" s="1" t="str">
        <f>"00739569"</f>
        <v>00739569</v>
      </c>
      <c r="K5524" s="1" t="str">
        <f>"２２１７　　　　　　　　　　　　　　　　"</f>
        <v>２２１７　　　　　　　　　　　　　　　　</v>
      </c>
      <c r="L5524" s="1"/>
    </row>
    <row r="5525" spans="1:12" ht="18" customHeight="1" x14ac:dyDescent="0.15">
      <c r="A5525" s="1">
        <v>1590</v>
      </c>
      <c r="B5525" s="1" t="s">
        <v>28</v>
      </c>
      <c r="C5525" s="1" t="s">
        <v>151</v>
      </c>
      <c r="D5525" s="1">
        <v>1</v>
      </c>
      <c r="E5525" s="1" t="s">
        <v>4</v>
      </c>
      <c r="F5525" s="2">
        <v>20700</v>
      </c>
      <c r="G5525" s="2" t="s">
        <v>667</v>
      </c>
      <c r="H5525" s="1" t="str">
        <f t="shared" si="182"/>
        <v>平成22年2月26日</v>
      </c>
      <c r="I5525" s="22">
        <f t="shared" si="181"/>
        <v>40235</v>
      </c>
      <c r="J5525" s="1" t="str">
        <f>"00739571"</f>
        <v>00739571</v>
      </c>
      <c r="K5525" s="1" t="str">
        <f>"２２１８　　　　　　　　　　　　　　　　"</f>
        <v>２２１８　　　　　　　　　　　　　　　　</v>
      </c>
      <c r="L5525" s="1"/>
    </row>
    <row r="5526" spans="1:12" ht="18" customHeight="1" x14ac:dyDescent="0.15">
      <c r="A5526" s="1">
        <v>1591</v>
      </c>
      <c r="B5526" s="1" t="s">
        <v>28</v>
      </c>
      <c r="C5526" s="1" t="s">
        <v>151</v>
      </c>
      <c r="D5526" s="1">
        <v>1</v>
      </c>
      <c r="E5526" s="1" t="s">
        <v>4</v>
      </c>
      <c r="F5526" s="2">
        <v>20700</v>
      </c>
      <c r="G5526" s="2" t="s">
        <v>667</v>
      </c>
      <c r="H5526" s="1" t="str">
        <f t="shared" si="182"/>
        <v>平成22年2月26日</v>
      </c>
      <c r="I5526" s="22">
        <f t="shared" si="181"/>
        <v>40235</v>
      </c>
      <c r="J5526" s="1" t="str">
        <f>"00739573"</f>
        <v>00739573</v>
      </c>
      <c r="K5526" s="1" t="str">
        <f>"２２１９　　　　　　　　　　　　　　　　"</f>
        <v>２２１９　　　　　　　　　　　　　　　　</v>
      </c>
      <c r="L5526" s="1"/>
    </row>
    <row r="5527" spans="1:12" ht="18" customHeight="1" x14ac:dyDescent="0.15">
      <c r="A5527" s="1">
        <v>1592</v>
      </c>
      <c r="B5527" s="1" t="s">
        <v>28</v>
      </c>
      <c r="C5527" s="1" t="s">
        <v>151</v>
      </c>
      <c r="D5527" s="1">
        <v>1</v>
      </c>
      <c r="E5527" s="1" t="s">
        <v>4</v>
      </c>
      <c r="F5527" s="2">
        <v>20700</v>
      </c>
      <c r="G5527" s="2" t="s">
        <v>667</v>
      </c>
      <c r="H5527" s="1" t="str">
        <f t="shared" si="182"/>
        <v>平成22年2月26日</v>
      </c>
      <c r="I5527" s="22">
        <f t="shared" si="181"/>
        <v>40235</v>
      </c>
      <c r="J5527" s="1" t="str">
        <f>"00739575"</f>
        <v>00739575</v>
      </c>
      <c r="K5527" s="1" t="str">
        <f>"２２２０　　　　　　　　　　　　　　　　"</f>
        <v>２２２０　　　　　　　　　　　　　　　　</v>
      </c>
      <c r="L5527" s="1"/>
    </row>
    <row r="5528" spans="1:12" ht="18" customHeight="1" x14ac:dyDescent="0.15">
      <c r="A5528" s="1">
        <v>1593</v>
      </c>
      <c r="B5528" s="1" t="s">
        <v>28</v>
      </c>
      <c r="C5528" s="1" t="s">
        <v>151</v>
      </c>
      <c r="D5528" s="1">
        <v>1</v>
      </c>
      <c r="E5528" s="1" t="s">
        <v>4</v>
      </c>
      <c r="F5528" s="2">
        <v>20700</v>
      </c>
      <c r="G5528" s="2" t="s">
        <v>667</v>
      </c>
      <c r="H5528" s="1" t="str">
        <f t="shared" si="182"/>
        <v>平成22年2月26日</v>
      </c>
      <c r="I5528" s="22">
        <f t="shared" si="181"/>
        <v>40235</v>
      </c>
      <c r="J5528" s="1" t="str">
        <f>"00739577"</f>
        <v>00739577</v>
      </c>
      <c r="K5528" s="1" t="str">
        <f>"２２２１　　　　　　　　　　　　　　　　"</f>
        <v>２２２１　　　　　　　　　　　　　　　　</v>
      </c>
      <c r="L5528" s="1"/>
    </row>
    <row r="5529" spans="1:12" ht="18" customHeight="1" x14ac:dyDescent="0.15">
      <c r="A5529" s="1">
        <v>1594</v>
      </c>
      <c r="B5529" s="1" t="s">
        <v>28</v>
      </c>
      <c r="C5529" s="1" t="s">
        <v>151</v>
      </c>
      <c r="D5529" s="1">
        <v>1</v>
      </c>
      <c r="E5529" s="1" t="s">
        <v>4</v>
      </c>
      <c r="F5529" s="2">
        <v>20700</v>
      </c>
      <c r="G5529" s="2" t="s">
        <v>667</v>
      </c>
      <c r="H5529" s="1" t="str">
        <f t="shared" si="182"/>
        <v>平成22年2月26日</v>
      </c>
      <c r="I5529" s="22">
        <f t="shared" si="181"/>
        <v>40235</v>
      </c>
      <c r="J5529" s="1" t="str">
        <f>"00739579"</f>
        <v>00739579</v>
      </c>
      <c r="K5529" s="1" t="str">
        <f>"２２２２　　　　　　　　　　　　　　　　"</f>
        <v>２２２２　　　　　　　　　　　　　　　　</v>
      </c>
      <c r="L5529" s="1"/>
    </row>
    <row r="5530" spans="1:12" ht="18" customHeight="1" x14ac:dyDescent="0.15">
      <c r="A5530" s="1">
        <v>1595</v>
      </c>
      <c r="B5530" s="1" t="s">
        <v>28</v>
      </c>
      <c r="C5530" s="1" t="s">
        <v>151</v>
      </c>
      <c r="D5530" s="1">
        <v>1</v>
      </c>
      <c r="E5530" s="1" t="s">
        <v>4</v>
      </c>
      <c r="F5530" s="2">
        <v>20700</v>
      </c>
      <c r="G5530" s="2" t="s">
        <v>667</v>
      </c>
      <c r="H5530" s="1" t="str">
        <f t="shared" si="182"/>
        <v>平成22年2月26日</v>
      </c>
      <c r="I5530" s="22">
        <f t="shared" ref="I5530:I5593" si="183">DATEVALUE(H5530)</f>
        <v>40235</v>
      </c>
      <c r="J5530" s="1" t="str">
        <f>"00739581"</f>
        <v>00739581</v>
      </c>
      <c r="K5530" s="1" t="str">
        <f>"２２２３　　　　　　　　　　　　　　　　"</f>
        <v>２２２３　　　　　　　　　　　　　　　　</v>
      </c>
      <c r="L5530" s="1"/>
    </row>
    <row r="5531" spans="1:12" ht="18" customHeight="1" x14ac:dyDescent="0.15">
      <c r="A5531" s="1">
        <v>1596</v>
      </c>
      <c r="B5531" s="1" t="s">
        <v>28</v>
      </c>
      <c r="C5531" s="1" t="s">
        <v>151</v>
      </c>
      <c r="D5531" s="1">
        <v>1</v>
      </c>
      <c r="E5531" s="1" t="s">
        <v>4</v>
      </c>
      <c r="F5531" s="2">
        <v>20700</v>
      </c>
      <c r="G5531" s="2" t="s">
        <v>667</v>
      </c>
      <c r="H5531" s="1" t="str">
        <f t="shared" si="182"/>
        <v>平成22年2月26日</v>
      </c>
      <c r="I5531" s="22">
        <f t="shared" si="183"/>
        <v>40235</v>
      </c>
      <c r="J5531" s="1" t="str">
        <f>"00739583"</f>
        <v>00739583</v>
      </c>
      <c r="K5531" s="1" t="str">
        <f>"２２２４　　　　　　　　　　　　　　　　"</f>
        <v>２２２４　　　　　　　　　　　　　　　　</v>
      </c>
      <c r="L5531" s="1"/>
    </row>
    <row r="5532" spans="1:12" ht="18" customHeight="1" x14ac:dyDescent="0.15">
      <c r="A5532" s="1">
        <v>1597</v>
      </c>
      <c r="B5532" s="1" t="s">
        <v>28</v>
      </c>
      <c r="C5532" s="1" t="s">
        <v>151</v>
      </c>
      <c r="D5532" s="1">
        <v>1</v>
      </c>
      <c r="E5532" s="1" t="s">
        <v>4</v>
      </c>
      <c r="F5532" s="2">
        <v>20700</v>
      </c>
      <c r="G5532" s="2" t="s">
        <v>667</v>
      </c>
      <c r="H5532" s="1" t="str">
        <f t="shared" si="182"/>
        <v>平成22年2月26日</v>
      </c>
      <c r="I5532" s="22">
        <f t="shared" si="183"/>
        <v>40235</v>
      </c>
      <c r="J5532" s="1" t="str">
        <f>"00739585"</f>
        <v>00739585</v>
      </c>
      <c r="K5532" s="1" t="str">
        <f>"２２２５　　　　　　　　　　　　　　　　"</f>
        <v>２２２５　　　　　　　　　　　　　　　　</v>
      </c>
      <c r="L5532" s="1"/>
    </row>
    <row r="5533" spans="1:12" ht="18" customHeight="1" x14ac:dyDescent="0.15">
      <c r="A5533" s="1">
        <v>1598</v>
      </c>
      <c r="B5533" s="1" t="s">
        <v>28</v>
      </c>
      <c r="C5533" s="1" t="s">
        <v>151</v>
      </c>
      <c r="D5533" s="1">
        <v>1</v>
      </c>
      <c r="E5533" s="1" t="s">
        <v>4</v>
      </c>
      <c r="F5533" s="2">
        <v>20700</v>
      </c>
      <c r="G5533" s="2" t="s">
        <v>667</v>
      </c>
      <c r="H5533" s="1" t="str">
        <f t="shared" si="182"/>
        <v>平成22年2月26日</v>
      </c>
      <c r="I5533" s="22">
        <f t="shared" si="183"/>
        <v>40235</v>
      </c>
      <c r="J5533" s="1" t="str">
        <f>"00739587"</f>
        <v>00739587</v>
      </c>
      <c r="K5533" s="1" t="str">
        <f>"２２２６　　　　　　　　　　　　　　　　"</f>
        <v>２２２６　　　　　　　　　　　　　　　　</v>
      </c>
      <c r="L5533" s="1"/>
    </row>
    <row r="5534" spans="1:12" ht="18" customHeight="1" x14ac:dyDescent="0.15">
      <c r="A5534" s="1">
        <v>1599</v>
      </c>
      <c r="B5534" s="1" t="s">
        <v>28</v>
      </c>
      <c r="C5534" s="1" t="s">
        <v>151</v>
      </c>
      <c r="D5534" s="1">
        <v>1</v>
      </c>
      <c r="E5534" s="1" t="s">
        <v>4</v>
      </c>
      <c r="F5534" s="2">
        <v>20700</v>
      </c>
      <c r="G5534" s="2" t="s">
        <v>667</v>
      </c>
      <c r="H5534" s="1" t="str">
        <f t="shared" si="182"/>
        <v>平成22年2月26日</v>
      </c>
      <c r="I5534" s="22">
        <f t="shared" si="183"/>
        <v>40235</v>
      </c>
      <c r="J5534" s="1" t="str">
        <f>"00739589"</f>
        <v>00739589</v>
      </c>
      <c r="K5534" s="1" t="str">
        <f>"２２２７　　　　　　　　　　　　　　　　"</f>
        <v>２２２７　　　　　　　　　　　　　　　　</v>
      </c>
      <c r="L5534" s="1"/>
    </row>
    <row r="5535" spans="1:12" ht="18" customHeight="1" x14ac:dyDescent="0.15">
      <c r="A5535" s="1">
        <v>1600</v>
      </c>
      <c r="B5535" s="1" t="s">
        <v>28</v>
      </c>
      <c r="C5535" s="1" t="s">
        <v>151</v>
      </c>
      <c r="D5535" s="1">
        <v>1</v>
      </c>
      <c r="E5535" s="1" t="s">
        <v>4</v>
      </c>
      <c r="F5535" s="2">
        <v>20700</v>
      </c>
      <c r="G5535" s="2" t="s">
        <v>667</v>
      </c>
      <c r="H5535" s="1" t="str">
        <f t="shared" si="182"/>
        <v>平成22年2月26日</v>
      </c>
      <c r="I5535" s="22">
        <f t="shared" si="183"/>
        <v>40235</v>
      </c>
      <c r="J5535" s="1" t="str">
        <f>"00739591"</f>
        <v>00739591</v>
      </c>
      <c r="K5535" s="1" t="str">
        <f>"２２２８　　　　　　　　　　　　　　　　"</f>
        <v>２２２８　　　　　　　　　　　　　　　　</v>
      </c>
      <c r="L5535" s="1"/>
    </row>
    <row r="5536" spans="1:12" ht="18" customHeight="1" x14ac:dyDescent="0.15">
      <c r="A5536" s="1">
        <v>1601</v>
      </c>
      <c r="B5536" s="1" t="s">
        <v>28</v>
      </c>
      <c r="C5536" s="1" t="s">
        <v>151</v>
      </c>
      <c r="D5536" s="1">
        <v>1</v>
      </c>
      <c r="E5536" s="1" t="s">
        <v>4</v>
      </c>
      <c r="F5536" s="2">
        <v>20700</v>
      </c>
      <c r="G5536" s="2" t="s">
        <v>667</v>
      </c>
      <c r="H5536" s="1" t="str">
        <f t="shared" si="182"/>
        <v>平成22年2月26日</v>
      </c>
      <c r="I5536" s="22">
        <f t="shared" si="183"/>
        <v>40235</v>
      </c>
      <c r="J5536" s="1" t="str">
        <f>"00739593"</f>
        <v>00739593</v>
      </c>
      <c r="K5536" s="1" t="str">
        <f>"２２２９　　　　　　　　　　　　　　　　"</f>
        <v>２２２９　　　　　　　　　　　　　　　　</v>
      </c>
      <c r="L5536" s="1"/>
    </row>
    <row r="5537" spans="1:12" ht="18" customHeight="1" x14ac:dyDescent="0.15">
      <c r="A5537" s="1">
        <v>1602</v>
      </c>
      <c r="B5537" s="1" t="s">
        <v>28</v>
      </c>
      <c r="C5537" s="1" t="s">
        <v>151</v>
      </c>
      <c r="D5537" s="1">
        <v>1</v>
      </c>
      <c r="E5537" s="1" t="s">
        <v>4</v>
      </c>
      <c r="F5537" s="2">
        <v>20700</v>
      </c>
      <c r="G5537" s="2" t="s">
        <v>667</v>
      </c>
      <c r="H5537" s="1" t="str">
        <f t="shared" si="182"/>
        <v>平成22年2月26日</v>
      </c>
      <c r="I5537" s="22">
        <f t="shared" si="183"/>
        <v>40235</v>
      </c>
      <c r="J5537" s="1" t="str">
        <f>"00739595"</f>
        <v>00739595</v>
      </c>
      <c r="K5537" s="1" t="str">
        <f>"２２３０　　　　　　　　　　　　　　　　"</f>
        <v>２２３０　　　　　　　　　　　　　　　　</v>
      </c>
      <c r="L5537" s="1"/>
    </row>
    <row r="5538" spans="1:12" ht="18" customHeight="1" x14ac:dyDescent="0.15">
      <c r="A5538" s="1">
        <v>1603</v>
      </c>
      <c r="B5538" s="1" t="s">
        <v>28</v>
      </c>
      <c r="C5538" s="1" t="s">
        <v>151</v>
      </c>
      <c r="D5538" s="1">
        <v>1</v>
      </c>
      <c r="E5538" s="1" t="s">
        <v>4</v>
      </c>
      <c r="F5538" s="2">
        <v>20700</v>
      </c>
      <c r="G5538" s="2" t="s">
        <v>667</v>
      </c>
      <c r="H5538" s="1" t="str">
        <f t="shared" si="182"/>
        <v>平成22年2月26日</v>
      </c>
      <c r="I5538" s="22">
        <f t="shared" si="183"/>
        <v>40235</v>
      </c>
      <c r="J5538" s="1" t="str">
        <f>"00739597"</f>
        <v>00739597</v>
      </c>
      <c r="K5538" s="1" t="str">
        <f>"２２３１　　　　　　　　　　　　　　　　"</f>
        <v>２２３１　　　　　　　　　　　　　　　　</v>
      </c>
      <c r="L5538" s="1"/>
    </row>
    <row r="5539" spans="1:12" ht="18" customHeight="1" x14ac:dyDescent="0.15">
      <c r="A5539" s="1">
        <v>1604</v>
      </c>
      <c r="B5539" s="1" t="s">
        <v>28</v>
      </c>
      <c r="C5539" s="1" t="s">
        <v>151</v>
      </c>
      <c r="D5539" s="1">
        <v>1</v>
      </c>
      <c r="E5539" s="1" t="s">
        <v>4</v>
      </c>
      <c r="F5539" s="2">
        <v>20700</v>
      </c>
      <c r="G5539" s="2" t="s">
        <v>667</v>
      </c>
      <c r="H5539" s="1" t="str">
        <f t="shared" si="182"/>
        <v>平成22年2月26日</v>
      </c>
      <c r="I5539" s="22">
        <f t="shared" si="183"/>
        <v>40235</v>
      </c>
      <c r="J5539" s="1" t="str">
        <f>"00739599"</f>
        <v>00739599</v>
      </c>
      <c r="K5539" s="1" t="str">
        <f>"２２３２　　　　　　　　　　　　　　　　"</f>
        <v>２２３２　　　　　　　　　　　　　　　　</v>
      </c>
      <c r="L5539" s="1"/>
    </row>
    <row r="5540" spans="1:12" ht="18" customHeight="1" x14ac:dyDescent="0.15">
      <c r="A5540" s="1">
        <v>1605</v>
      </c>
      <c r="B5540" s="1" t="s">
        <v>28</v>
      </c>
      <c r="C5540" s="1" t="s">
        <v>151</v>
      </c>
      <c r="D5540" s="1">
        <v>1</v>
      </c>
      <c r="E5540" s="1" t="s">
        <v>4</v>
      </c>
      <c r="F5540" s="2">
        <v>20700</v>
      </c>
      <c r="G5540" s="2" t="s">
        <v>667</v>
      </c>
      <c r="H5540" s="1" t="str">
        <f t="shared" si="182"/>
        <v>平成22年2月26日</v>
      </c>
      <c r="I5540" s="22">
        <f t="shared" si="183"/>
        <v>40235</v>
      </c>
      <c r="J5540" s="1" t="str">
        <f>"00739601"</f>
        <v>00739601</v>
      </c>
      <c r="K5540" s="1" t="str">
        <f>"２２３３　　　　　　　　　　　　　　　　"</f>
        <v>２２３３　　　　　　　　　　　　　　　　</v>
      </c>
      <c r="L5540" s="1"/>
    </row>
    <row r="5541" spans="1:12" ht="18" customHeight="1" x14ac:dyDescent="0.15">
      <c r="A5541" s="1">
        <v>1606</v>
      </c>
      <c r="B5541" s="1" t="s">
        <v>28</v>
      </c>
      <c r="C5541" s="1" t="s">
        <v>151</v>
      </c>
      <c r="D5541" s="1">
        <v>1</v>
      </c>
      <c r="E5541" s="1" t="s">
        <v>4</v>
      </c>
      <c r="F5541" s="2">
        <v>20700</v>
      </c>
      <c r="G5541" s="2" t="s">
        <v>667</v>
      </c>
      <c r="H5541" s="1" t="str">
        <f t="shared" ref="H5541:H5589" si="184">"平成22年2月26日"</f>
        <v>平成22年2月26日</v>
      </c>
      <c r="I5541" s="22">
        <f t="shared" si="183"/>
        <v>40235</v>
      </c>
      <c r="J5541" s="1" t="str">
        <f>"00739603"</f>
        <v>00739603</v>
      </c>
      <c r="K5541" s="1" t="str">
        <f>"２２３４　　　　　　　　　　　　　　　　"</f>
        <v>２２３４　　　　　　　　　　　　　　　　</v>
      </c>
      <c r="L5541" s="1"/>
    </row>
    <row r="5542" spans="1:12" ht="18" customHeight="1" x14ac:dyDescent="0.15">
      <c r="A5542" s="1">
        <v>1607</v>
      </c>
      <c r="B5542" s="1" t="s">
        <v>28</v>
      </c>
      <c r="C5542" s="1" t="s">
        <v>151</v>
      </c>
      <c r="D5542" s="1">
        <v>1</v>
      </c>
      <c r="E5542" s="1" t="s">
        <v>4</v>
      </c>
      <c r="F5542" s="2">
        <v>20700</v>
      </c>
      <c r="G5542" s="2" t="s">
        <v>667</v>
      </c>
      <c r="H5542" s="1" t="str">
        <f t="shared" si="184"/>
        <v>平成22年2月26日</v>
      </c>
      <c r="I5542" s="22">
        <f t="shared" si="183"/>
        <v>40235</v>
      </c>
      <c r="J5542" s="1" t="str">
        <f>"00739605"</f>
        <v>00739605</v>
      </c>
      <c r="K5542" s="1" t="str">
        <f>"２２３５　　　　　　　　　　　　　　　　"</f>
        <v>２２３５　　　　　　　　　　　　　　　　</v>
      </c>
      <c r="L5542" s="1"/>
    </row>
    <row r="5543" spans="1:12" ht="18" customHeight="1" x14ac:dyDescent="0.15">
      <c r="A5543" s="1">
        <v>1608</v>
      </c>
      <c r="B5543" s="1" t="s">
        <v>28</v>
      </c>
      <c r="C5543" s="1" t="s">
        <v>151</v>
      </c>
      <c r="D5543" s="1">
        <v>1</v>
      </c>
      <c r="E5543" s="1" t="s">
        <v>4</v>
      </c>
      <c r="F5543" s="2">
        <v>20700</v>
      </c>
      <c r="G5543" s="2" t="s">
        <v>667</v>
      </c>
      <c r="H5543" s="1" t="str">
        <f t="shared" si="184"/>
        <v>平成22年2月26日</v>
      </c>
      <c r="I5543" s="22">
        <f t="shared" si="183"/>
        <v>40235</v>
      </c>
      <c r="J5543" s="1" t="str">
        <f>"00739607"</f>
        <v>00739607</v>
      </c>
      <c r="K5543" s="1" t="str">
        <f>"２２３６　　　　　　　　　　　　　　　　"</f>
        <v>２２３６　　　　　　　　　　　　　　　　</v>
      </c>
      <c r="L5543" s="1"/>
    </row>
    <row r="5544" spans="1:12" ht="18" customHeight="1" x14ac:dyDescent="0.15">
      <c r="A5544" s="1">
        <v>1609</v>
      </c>
      <c r="B5544" s="1" t="s">
        <v>28</v>
      </c>
      <c r="C5544" s="1" t="s">
        <v>151</v>
      </c>
      <c r="D5544" s="1">
        <v>1</v>
      </c>
      <c r="E5544" s="1" t="s">
        <v>4</v>
      </c>
      <c r="F5544" s="2">
        <v>20700</v>
      </c>
      <c r="G5544" s="2" t="s">
        <v>667</v>
      </c>
      <c r="H5544" s="1" t="str">
        <f t="shared" si="184"/>
        <v>平成22年2月26日</v>
      </c>
      <c r="I5544" s="22">
        <f t="shared" si="183"/>
        <v>40235</v>
      </c>
      <c r="J5544" s="1" t="str">
        <f>"00739609"</f>
        <v>00739609</v>
      </c>
      <c r="K5544" s="1" t="str">
        <f>"２２３７　　　　　　　　　　　　　　　　"</f>
        <v>２２３７　　　　　　　　　　　　　　　　</v>
      </c>
      <c r="L5544" s="1"/>
    </row>
    <row r="5545" spans="1:12" ht="18" customHeight="1" x14ac:dyDescent="0.15">
      <c r="A5545" s="1">
        <v>1610</v>
      </c>
      <c r="B5545" s="1" t="s">
        <v>28</v>
      </c>
      <c r="C5545" s="1" t="s">
        <v>151</v>
      </c>
      <c r="D5545" s="1">
        <v>1</v>
      </c>
      <c r="E5545" s="1" t="s">
        <v>4</v>
      </c>
      <c r="F5545" s="2">
        <v>20700</v>
      </c>
      <c r="G5545" s="2" t="s">
        <v>667</v>
      </c>
      <c r="H5545" s="1" t="str">
        <f t="shared" si="184"/>
        <v>平成22年2月26日</v>
      </c>
      <c r="I5545" s="22">
        <f t="shared" si="183"/>
        <v>40235</v>
      </c>
      <c r="J5545" s="1" t="str">
        <f>"00739611"</f>
        <v>00739611</v>
      </c>
      <c r="K5545" s="1" t="str">
        <f>"２２３８　　　　　　　　　　　　　　　　"</f>
        <v>２２３８　　　　　　　　　　　　　　　　</v>
      </c>
      <c r="L5545" s="1"/>
    </row>
    <row r="5546" spans="1:12" ht="18" customHeight="1" x14ac:dyDescent="0.15">
      <c r="A5546" s="1">
        <v>1611</v>
      </c>
      <c r="B5546" s="1" t="s">
        <v>28</v>
      </c>
      <c r="C5546" s="1" t="s">
        <v>151</v>
      </c>
      <c r="D5546" s="1">
        <v>1</v>
      </c>
      <c r="E5546" s="1" t="s">
        <v>4</v>
      </c>
      <c r="F5546" s="2">
        <v>20700</v>
      </c>
      <c r="G5546" s="2" t="s">
        <v>667</v>
      </c>
      <c r="H5546" s="1" t="str">
        <f t="shared" si="184"/>
        <v>平成22年2月26日</v>
      </c>
      <c r="I5546" s="22">
        <f t="shared" si="183"/>
        <v>40235</v>
      </c>
      <c r="J5546" s="1" t="str">
        <f>"00739613"</f>
        <v>00739613</v>
      </c>
      <c r="K5546" s="1" t="str">
        <f>"２２３９　　　　　　　　　　　　　　　　"</f>
        <v>２２３９　　　　　　　　　　　　　　　　</v>
      </c>
      <c r="L5546" s="1"/>
    </row>
    <row r="5547" spans="1:12" ht="18" customHeight="1" x14ac:dyDescent="0.15">
      <c r="A5547" s="1">
        <v>1612</v>
      </c>
      <c r="B5547" s="1" t="s">
        <v>28</v>
      </c>
      <c r="C5547" s="1" t="s">
        <v>151</v>
      </c>
      <c r="D5547" s="1">
        <v>1</v>
      </c>
      <c r="E5547" s="1" t="s">
        <v>4</v>
      </c>
      <c r="F5547" s="2">
        <v>20700</v>
      </c>
      <c r="G5547" s="2" t="s">
        <v>667</v>
      </c>
      <c r="H5547" s="1" t="str">
        <f t="shared" si="184"/>
        <v>平成22年2月26日</v>
      </c>
      <c r="I5547" s="22">
        <f t="shared" si="183"/>
        <v>40235</v>
      </c>
      <c r="J5547" s="1" t="str">
        <f>"00739615"</f>
        <v>00739615</v>
      </c>
      <c r="K5547" s="1" t="str">
        <f>"２２４０　　　　　　　　　　　　　　　　"</f>
        <v>２２４０　　　　　　　　　　　　　　　　</v>
      </c>
      <c r="L5547" s="1"/>
    </row>
    <row r="5548" spans="1:12" ht="18" customHeight="1" x14ac:dyDescent="0.15">
      <c r="A5548" s="1">
        <v>1613</v>
      </c>
      <c r="B5548" s="1" t="s">
        <v>28</v>
      </c>
      <c r="C5548" s="1" t="s">
        <v>151</v>
      </c>
      <c r="D5548" s="1">
        <v>1</v>
      </c>
      <c r="E5548" s="1" t="s">
        <v>4</v>
      </c>
      <c r="F5548" s="2">
        <v>20700</v>
      </c>
      <c r="G5548" s="2" t="s">
        <v>667</v>
      </c>
      <c r="H5548" s="1" t="str">
        <f t="shared" si="184"/>
        <v>平成22年2月26日</v>
      </c>
      <c r="I5548" s="22">
        <f t="shared" si="183"/>
        <v>40235</v>
      </c>
      <c r="J5548" s="1" t="str">
        <f>"00739617"</f>
        <v>00739617</v>
      </c>
      <c r="K5548" s="1" t="str">
        <f>"２２４１　　　　　　　　　　　　　　　　"</f>
        <v>２２４１　　　　　　　　　　　　　　　　</v>
      </c>
      <c r="L5548" s="1"/>
    </row>
    <row r="5549" spans="1:12" ht="18" customHeight="1" x14ac:dyDescent="0.15">
      <c r="A5549" s="1">
        <v>1614</v>
      </c>
      <c r="B5549" s="1" t="s">
        <v>28</v>
      </c>
      <c r="C5549" s="1" t="s">
        <v>151</v>
      </c>
      <c r="D5549" s="1">
        <v>1</v>
      </c>
      <c r="E5549" s="1" t="s">
        <v>4</v>
      </c>
      <c r="F5549" s="2">
        <v>20700</v>
      </c>
      <c r="G5549" s="2" t="s">
        <v>667</v>
      </c>
      <c r="H5549" s="1" t="str">
        <f t="shared" si="184"/>
        <v>平成22年2月26日</v>
      </c>
      <c r="I5549" s="22">
        <f t="shared" si="183"/>
        <v>40235</v>
      </c>
      <c r="J5549" s="1" t="str">
        <f>"00739619"</f>
        <v>00739619</v>
      </c>
      <c r="K5549" s="1" t="str">
        <f>"２２４２　　　　　　　　　　　　　　　　"</f>
        <v>２２４２　　　　　　　　　　　　　　　　</v>
      </c>
      <c r="L5549" s="1"/>
    </row>
    <row r="5550" spans="1:12" ht="18" customHeight="1" x14ac:dyDescent="0.15">
      <c r="A5550" s="1">
        <v>1615</v>
      </c>
      <c r="B5550" s="1" t="s">
        <v>28</v>
      </c>
      <c r="C5550" s="1" t="s">
        <v>151</v>
      </c>
      <c r="D5550" s="1">
        <v>1</v>
      </c>
      <c r="E5550" s="1" t="s">
        <v>4</v>
      </c>
      <c r="F5550" s="2">
        <v>20700</v>
      </c>
      <c r="G5550" s="2" t="s">
        <v>667</v>
      </c>
      <c r="H5550" s="1" t="str">
        <f t="shared" si="184"/>
        <v>平成22年2月26日</v>
      </c>
      <c r="I5550" s="22">
        <f t="shared" si="183"/>
        <v>40235</v>
      </c>
      <c r="J5550" s="1" t="str">
        <f>"00739621"</f>
        <v>00739621</v>
      </c>
      <c r="K5550" s="1" t="str">
        <f>"２２４３　　　　　　　　　　　　　　　　"</f>
        <v>２２４３　　　　　　　　　　　　　　　　</v>
      </c>
      <c r="L5550" s="1"/>
    </row>
    <row r="5551" spans="1:12" ht="18" customHeight="1" x14ac:dyDescent="0.15">
      <c r="A5551" s="1">
        <v>4967</v>
      </c>
      <c r="B5551" s="1" t="s">
        <v>502</v>
      </c>
      <c r="C5551" s="1" t="s">
        <v>519</v>
      </c>
      <c r="D5551" s="1">
        <v>1</v>
      </c>
      <c r="E5551" s="1" t="s">
        <v>61</v>
      </c>
      <c r="F5551" s="2">
        <v>76000</v>
      </c>
      <c r="G5551" s="2" t="s">
        <v>667</v>
      </c>
      <c r="H5551" s="1" t="str">
        <f t="shared" si="184"/>
        <v>平成22年2月26日</v>
      </c>
      <c r="I5551" s="22">
        <f t="shared" si="183"/>
        <v>40235</v>
      </c>
      <c r="J5551" s="1" t="str">
        <f>"00747167"</f>
        <v>00747167</v>
      </c>
      <c r="K5551" s="1" t="str">
        <f>"４４９　　　　　　　　　　　　　　　　　"</f>
        <v>４４９　　　　　　　　　　　　　　　　　</v>
      </c>
      <c r="L5551" s="1"/>
    </row>
    <row r="5552" spans="1:12" ht="18" customHeight="1" x14ac:dyDescent="0.15">
      <c r="A5552" s="1">
        <v>4968</v>
      </c>
      <c r="B5552" s="1" t="s">
        <v>502</v>
      </c>
      <c r="C5552" s="1" t="s">
        <v>519</v>
      </c>
      <c r="D5552" s="1">
        <v>1</v>
      </c>
      <c r="E5552" s="1" t="s">
        <v>61</v>
      </c>
      <c r="F5552" s="2">
        <v>76000</v>
      </c>
      <c r="G5552" s="2" t="s">
        <v>667</v>
      </c>
      <c r="H5552" s="1" t="str">
        <f t="shared" si="184"/>
        <v>平成22年2月26日</v>
      </c>
      <c r="I5552" s="22">
        <f t="shared" si="183"/>
        <v>40235</v>
      </c>
      <c r="J5552" s="1" t="str">
        <f>"00747169"</f>
        <v>00747169</v>
      </c>
      <c r="K5552" s="1" t="str">
        <f>"４５０　　　　　　　　　　　　　　　　　"</f>
        <v>４５０　　　　　　　　　　　　　　　　　</v>
      </c>
      <c r="L5552" s="1"/>
    </row>
    <row r="5553" spans="1:12" ht="18" customHeight="1" x14ac:dyDescent="0.15">
      <c r="A5553" s="1">
        <v>4969</v>
      </c>
      <c r="B5553" s="1" t="s">
        <v>502</v>
      </c>
      <c r="C5553" s="1" t="s">
        <v>519</v>
      </c>
      <c r="D5553" s="1">
        <v>1</v>
      </c>
      <c r="E5553" s="1" t="s">
        <v>61</v>
      </c>
      <c r="F5553" s="2">
        <v>76000</v>
      </c>
      <c r="G5553" s="2" t="s">
        <v>667</v>
      </c>
      <c r="H5553" s="1" t="str">
        <f t="shared" si="184"/>
        <v>平成22年2月26日</v>
      </c>
      <c r="I5553" s="22">
        <f t="shared" si="183"/>
        <v>40235</v>
      </c>
      <c r="J5553" s="1" t="str">
        <f>"00747171"</f>
        <v>00747171</v>
      </c>
      <c r="K5553" s="1" t="str">
        <f>"４５１　　　　　　　　　　　　　　　　　"</f>
        <v>４５１　　　　　　　　　　　　　　　　　</v>
      </c>
      <c r="L5553" s="1"/>
    </row>
    <row r="5554" spans="1:12" ht="18" customHeight="1" x14ac:dyDescent="0.15">
      <c r="A5554" s="1">
        <v>4970</v>
      </c>
      <c r="B5554" s="1" t="s">
        <v>502</v>
      </c>
      <c r="C5554" s="1" t="s">
        <v>519</v>
      </c>
      <c r="D5554" s="1">
        <v>1</v>
      </c>
      <c r="E5554" s="1" t="s">
        <v>61</v>
      </c>
      <c r="F5554" s="2">
        <v>76000</v>
      </c>
      <c r="G5554" s="2" t="s">
        <v>667</v>
      </c>
      <c r="H5554" s="1" t="str">
        <f t="shared" si="184"/>
        <v>平成22年2月26日</v>
      </c>
      <c r="I5554" s="22">
        <f t="shared" si="183"/>
        <v>40235</v>
      </c>
      <c r="J5554" s="1" t="str">
        <f>"00747173"</f>
        <v>00747173</v>
      </c>
      <c r="K5554" s="1" t="str">
        <f>"４５２　　　　　　　　　　　　　　　　　"</f>
        <v>４５２　　　　　　　　　　　　　　　　　</v>
      </c>
      <c r="L5554" s="1"/>
    </row>
    <row r="5555" spans="1:12" ht="18" customHeight="1" x14ac:dyDescent="0.15">
      <c r="A5555" s="1">
        <v>4971</v>
      </c>
      <c r="B5555" s="1" t="s">
        <v>502</v>
      </c>
      <c r="C5555" s="1" t="s">
        <v>519</v>
      </c>
      <c r="D5555" s="1">
        <v>1</v>
      </c>
      <c r="E5555" s="1" t="s">
        <v>61</v>
      </c>
      <c r="F5555" s="2">
        <v>76000</v>
      </c>
      <c r="G5555" s="2" t="s">
        <v>667</v>
      </c>
      <c r="H5555" s="1" t="str">
        <f t="shared" si="184"/>
        <v>平成22年2月26日</v>
      </c>
      <c r="I5555" s="22">
        <f t="shared" si="183"/>
        <v>40235</v>
      </c>
      <c r="J5555" s="1" t="str">
        <f>"00747175"</f>
        <v>00747175</v>
      </c>
      <c r="K5555" s="1" t="str">
        <f>"４５３　　　　　　　　　　　　　　　　　"</f>
        <v>４５３　　　　　　　　　　　　　　　　　</v>
      </c>
      <c r="L5555" s="1"/>
    </row>
    <row r="5556" spans="1:12" ht="18" customHeight="1" x14ac:dyDescent="0.15">
      <c r="A5556" s="1">
        <v>4972</v>
      </c>
      <c r="B5556" s="1" t="s">
        <v>502</v>
      </c>
      <c r="C5556" s="1" t="s">
        <v>519</v>
      </c>
      <c r="D5556" s="1">
        <v>1</v>
      </c>
      <c r="E5556" s="1" t="s">
        <v>61</v>
      </c>
      <c r="F5556" s="2">
        <v>76000</v>
      </c>
      <c r="G5556" s="2" t="s">
        <v>667</v>
      </c>
      <c r="H5556" s="1" t="str">
        <f t="shared" si="184"/>
        <v>平成22年2月26日</v>
      </c>
      <c r="I5556" s="22">
        <f t="shared" si="183"/>
        <v>40235</v>
      </c>
      <c r="J5556" s="1" t="str">
        <f>"00747177"</f>
        <v>00747177</v>
      </c>
      <c r="K5556" s="1" t="str">
        <f>"４５４　　　　　　　　　　　　　　　　　"</f>
        <v>４５４　　　　　　　　　　　　　　　　　</v>
      </c>
      <c r="L5556" s="1"/>
    </row>
    <row r="5557" spans="1:12" ht="18" customHeight="1" x14ac:dyDescent="0.15">
      <c r="A5557" s="1">
        <v>4973</v>
      </c>
      <c r="B5557" s="1" t="s">
        <v>502</v>
      </c>
      <c r="C5557" s="1" t="s">
        <v>519</v>
      </c>
      <c r="D5557" s="1">
        <v>1</v>
      </c>
      <c r="E5557" s="1" t="s">
        <v>61</v>
      </c>
      <c r="F5557" s="2">
        <v>76000</v>
      </c>
      <c r="G5557" s="2" t="s">
        <v>667</v>
      </c>
      <c r="H5557" s="1" t="str">
        <f t="shared" si="184"/>
        <v>平成22年2月26日</v>
      </c>
      <c r="I5557" s="22">
        <f t="shared" si="183"/>
        <v>40235</v>
      </c>
      <c r="J5557" s="1" t="str">
        <f>"00747179"</f>
        <v>00747179</v>
      </c>
      <c r="K5557" s="1" t="str">
        <f>"４５５　　　　　　　　　　　　　　　　　"</f>
        <v>４５５　　　　　　　　　　　　　　　　　</v>
      </c>
      <c r="L5557" s="1"/>
    </row>
    <row r="5558" spans="1:12" ht="18" customHeight="1" x14ac:dyDescent="0.15">
      <c r="A5558" s="1">
        <v>4974</v>
      </c>
      <c r="B5558" s="1" t="s">
        <v>502</v>
      </c>
      <c r="C5558" s="1" t="s">
        <v>519</v>
      </c>
      <c r="D5558" s="1">
        <v>1</v>
      </c>
      <c r="E5558" s="1" t="s">
        <v>61</v>
      </c>
      <c r="F5558" s="2">
        <v>76000</v>
      </c>
      <c r="G5558" s="2" t="s">
        <v>667</v>
      </c>
      <c r="H5558" s="1" t="str">
        <f t="shared" si="184"/>
        <v>平成22年2月26日</v>
      </c>
      <c r="I5558" s="22">
        <f t="shared" si="183"/>
        <v>40235</v>
      </c>
      <c r="J5558" s="1" t="str">
        <f>"00747181"</f>
        <v>00747181</v>
      </c>
      <c r="K5558" s="1" t="str">
        <f>"４５６　　　　　　　　　　　　　　　　　"</f>
        <v>４５６　　　　　　　　　　　　　　　　　</v>
      </c>
      <c r="L5558" s="1"/>
    </row>
    <row r="5559" spans="1:12" ht="18" customHeight="1" x14ac:dyDescent="0.15">
      <c r="A5559" s="1">
        <v>4975</v>
      </c>
      <c r="B5559" s="1" t="s">
        <v>502</v>
      </c>
      <c r="C5559" s="1" t="s">
        <v>519</v>
      </c>
      <c r="D5559" s="1">
        <v>1</v>
      </c>
      <c r="E5559" s="1" t="s">
        <v>61</v>
      </c>
      <c r="F5559" s="2">
        <v>76000</v>
      </c>
      <c r="G5559" s="2" t="s">
        <v>667</v>
      </c>
      <c r="H5559" s="1" t="str">
        <f t="shared" si="184"/>
        <v>平成22年2月26日</v>
      </c>
      <c r="I5559" s="22">
        <f t="shared" si="183"/>
        <v>40235</v>
      </c>
      <c r="J5559" s="1" t="str">
        <f>"00747183"</f>
        <v>00747183</v>
      </c>
      <c r="K5559" s="1" t="str">
        <f>"４５７　　　　　　　　　　　　　　　　　"</f>
        <v>４５７　　　　　　　　　　　　　　　　　</v>
      </c>
      <c r="L5559" s="1"/>
    </row>
    <row r="5560" spans="1:12" ht="18" customHeight="1" x14ac:dyDescent="0.15">
      <c r="A5560" s="1">
        <v>4976</v>
      </c>
      <c r="B5560" s="1" t="s">
        <v>502</v>
      </c>
      <c r="C5560" s="1" t="s">
        <v>519</v>
      </c>
      <c r="D5560" s="1">
        <v>1</v>
      </c>
      <c r="E5560" s="1" t="s">
        <v>61</v>
      </c>
      <c r="F5560" s="2">
        <v>76000</v>
      </c>
      <c r="G5560" s="2" t="s">
        <v>667</v>
      </c>
      <c r="H5560" s="1" t="str">
        <f t="shared" si="184"/>
        <v>平成22年2月26日</v>
      </c>
      <c r="I5560" s="22">
        <f t="shared" si="183"/>
        <v>40235</v>
      </c>
      <c r="J5560" s="1" t="str">
        <f>"00747185"</f>
        <v>00747185</v>
      </c>
      <c r="K5560" s="1" t="str">
        <f>"４５８　　　　　　　　　　　　　　　　　"</f>
        <v>４５８　　　　　　　　　　　　　　　　　</v>
      </c>
      <c r="L5560" s="1"/>
    </row>
    <row r="5561" spans="1:12" ht="18" customHeight="1" x14ac:dyDescent="0.15">
      <c r="A5561" s="1">
        <v>4977</v>
      </c>
      <c r="B5561" s="1" t="s">
        <v>502</v>
      </c>
      <c r="C5561" s="1" t="s">
        <v>519</v>
      </c>
      <c r="D5561" s="1">
        <v>1</v>
      </c>
      <c r="E5561" s="1" t="s">
        <v>61</v>
      </c>
      <c r="F5561" s="2">
        <v>76000</v>
      </c>
      <c r="G5561" s="2" t="s">
        <v>667</v>
      </c>
      <c r="H5561" s="1" t="str">
        <f t="shared" si="184"/>
        <v>平成22年2月26日</v>
      </c>
      <c r="I5561" s="22">
        <f t="shared" si="183"/>
        <v>40235</v>
      </c>
      <c r="J5561" s="1" t="str">
        <f>"00747187"</f>
        <v>00747187</v>
      </c>
      <c r="K5561" s="1" t="str">
        <f>"４５９　　　　　　　　　　　　　　　　　"</f>
        <v>４５９　　　　　　　　　　　　　　　　　</v>
      </c>
      <c r="L5561" s="1"/>
    </row>
    <row r="5562" spans="1:12" ht="18" customHeight="1" x14ac:dyDescent="0.15">
      <c r="A5562" s="1">
        <v>4978</v>
      </c>
      <c r="B5562" s="1" t="s">
        <v>502</v>
      </c>
      <c r="C5562" s="1" t="s">
        <v>519</v>
      </c>
      <c r="D5562" s="1">
        <v>1</v>
      </c>
      <c r="E5562" s="1" t="s">
        <v>61</v>
      </c>
      <c r="F5562" s="2">
        <v>76000</v>
      </c>
      <c r="G5562" s="2" t="s">
        <v>667</v>
      </c>
      <c r="H5562" s="1" t="str">
        <f t="shared" si="184"/>
        <v>平成22年2月26日</v>
      </c>
      <c r="I5562" s="22">
        <f t="shared" si="183"/>
        <v>40235</v>
      </c>
      <c r="J5562" s="1" t="str">
        <f>"00747189"</f>
        <v>00747189</v>
      </c>
      <c r="K5562" s="1" t="str">
        <f>"４６０　　　　　　　　　　　　　　　　　"</f>
        <v>４６０　　　　　　　　　　　　　　　　　</v>
      </c>
      <c r="L5562" s="1"/>
    </row>
    <row r="5563" spans="1:12" ht="18" customHeight="1" x14ac:dyDescent="0.15">
      <c r="A5563" s="1">
        <v>4979</v>
      </c>
      <c r="B5563" s="1" t="s">
        <v>502</v>
      </c>
      <c r="C5563" s="1" t="s">
        <v>519</v>
      </c>
      <c r="D5563" s="1">
        <v>1</v>
      </c>
      <c r="E5563" s="1" t="s">
        <v>61</v>
      </c>
      <c r="F5563" s="2">
        <v>76000</v>
      </c>
      <c r="G5563" s="2" t="s">
        <v>667</v>
      </c>
      <c r="H5563" s="1" t="str">
        <f t="shared" si="184"/>
        <v>平成22年2月26日</v>
      </c>
      <c r="I5563" s="22">
        <f t="shared" si="183"/>
        <v>40235</v>
      </c>
      <c r="J5563" s="1" t="str">
        <f>"00747191"</f>
        <v>00747191</v>
      </c>
      <c r="K5563" s="1" t="str">
        <f>"４６１　　　　　　　　　　　　　　　　　"</f>
        <v>４６１　　　　　　　　　　　　　　　　　</v>
      </c>
      <c r="L5563" s="1"/>
    </row>
    <row r="5564" spans="1:12" ht="18" customHeight="1" x14ac:dyDescent="0.15">
      <c r="A5564" s="1">
        <v>4980</v>
      </c>
      <c r="B5564" s="1" t="s">
        <v>502</v>
      </c>
      <c r="C5564" s="1" t="s">
        <v>519</v>
      </c>
      <c r="D5564" s="1">
        <v>1</v>
      </c>
      <c r="E5564" s="1" t="s">
        <v>61</v>
      </c>
      <c r="F5564" s="2">
        <v>76000</v>
      </c>
      <c r="G5564" s="2" t="s">
        <v>667</v>
      </c>
      <c r="H5564" s="1" t="str">
        <f t="shared" si="184"/>
        <v>平成22年2月26日</v>
      </c>
      <c r="I5564" s="22">
        <f t="shared" si="183"/>
        <v>40235</v>
      </c>
      <c r="J5564" s="1" t="str">
        <f>"00747193"</f>
        <v>00747193</v>
      </c>
      <c r="K5564" s="1" t="str">
        <f>"４６２　　　　　　　　　　　　　　　　　"</f>
        <v>４６２　　　　　　　　　　　　　　　　　</v>
      </c>
      <c r="L5564" s="1"/>
    </row>
    <row r="5565" spans="1:12" ht="18" customHeight="1" x14ac:dyDescent="0.15">
      <c r="A5565" s="1">
        <v>4981</v>
      </c>
      <c r="B5565" s="1" t="s">
        <v>502</v>
      </c>
      <c r="C5565" s="1" t="s">
        <v>519</v>
      </c>
      <c r="D5565" s="1">
        <v>1</v>
      </c>
      <c r="E5565" s="1" t="s">
        <v>61</v>
      </c>
      <c r="F5565" s="2">
        <v>76000</v>
      </c>
      <c r="G5565" s="2" t="s">
        <v>667</v>
      </c>
      <c r="H5565" s="1" t="str">
        <f t="shared" si="184"/>
        <v>平成22年2月26日</v>
      </c>
      <c r="I5565" s="22">
        <f t="shared" si="183"/>
        <v>40235</v>
      </c>
      <c r="J5565" s="1" t="str">
        <f>"00747195"</f>
        <v>00747195</v>
      </c>
      <c r="K5565" s="1" t="str">
        <f>"４６３　　　　　　　　　　　　　　　　　"</f>
        <v>４６３　　　　　　　　　　　　　　　　　</v>
      </c>
      <c r="L5565" s="1"/>
    </row>
    <row r="5566" spans="1:12" ht="18" customHeight="1" x14ac:dyDescent="0.15">
      <c r="A5566" s="1">
        <v>4982</v>
      </c>
      <c r="B5566" s="1" t="s">
        <v>502</v>
      </c>
      <c r="C5566" s="1" t="s">
        <v>519</v>
      </c>
      <c r="D5566" s="1">
        <v>1</v>
      </c>
      <c r="E5566" s="1" t="s">
        <v>61</v>
      </c>
      <c r="F5566" s="2">
        <v>76000</v>
      </c>
      <c r="G5566" s="2" t="s">
        <v>667</v>
      </c>
      <c r="H5566" s="1" t="str">
        <f t="shared" si="184"/>
        <v>平成22年2月26日</v>
      </c>
      <c r="I5566" s="22">
        <f t="shared" si="183"/>
        <v>40235</v>
      </c>
      <c r="J5566" s="1" t="str">
        <f>"00747197"</f>
        <v>00747197</v>
      </c>
      <c r="K5566" s="1" t="str">
        <f>"４６４　　　　　　　　　　　　　　　　　"</f>
        <v>４６４　　　　　　　　　　　　　　　　　</v>
      </c>
      <c r="L5566" s="1"/>
    </row>
    <row r="5567" spans="1:12" ht="18" customHeight="1" x14ac:dyDescent="0.15">
      <c r="A5567" s="1">
        <v>4983</v>
      </c>
      <c r="B5567" s="1" t="s">
        <v>502</v>
      </c>
      <c r="C5567" s="1" t="s">
        <v>519</v>
      </c>
      <c r="D5567" s="1">
        <v>1</v>
      </c>
      <c r="E5567" s="1" t="s">
        <v>61</v>
      </c>
      <c r="F5567" s="2">
        <v>76000</v>
      </c>
      <c r="G5567" s="2" t="s">
        <v>667</v>
      </c>
      <c r="H5567" s="1" t="str">
        <f t="shared" si="184"/>
        <v>平成22年2月26日</v>
      </c>
      <c r="I5567" s="22">
        <f t="shared" si="183"/>
        <v>40235</v>
      </c>
      <c r="J5567" s="1" t="str">
        <f>"00747199"</f>
        <v>00747199</v>
      </c>
      <c r="K5567" s="1" t="str">
        <f>"４６５　　　　　　　　　　　　　　　　　"</f>
        <v>４６５　　　　　　　　　　　　　　　　　</v>
      </c>
      <c r="L5567" s="1"/>
    </row>
    <row r="5568" spans="1:12" ht="18" customHeight="1" x14ac:dyDescent="0.15">
      <c r="A5568" s="1">
        <v>4984</v>
      </c>
      <c r="B5568" s="1" t="s">
        <v>502</v>
      </c>
      <c r="C5568" s="1" t="s">
        <v>519</v>
      </c>
      <c r="D5568" s="1">
        <v>1</v>
      </c>
      <c r="E5568" s="1" t="s">
        <v>61</v>
      </c>
      <c r="F5568" s="2">
        <v>76000</v>
      </c>
      <c r="G5568" s="2" t="s">
        <v>667</v>
      </c>
      <c r="H5568" s="1" t="str">
        <f t="shared" si="184"/>
        <v>平成22年2月26日</v>
      </c>
      <c r="I5568" s="22">
        <f t="shared" si="183"/>
        <v>40235</v>
      </c>
      <c r="J5568" s="1" t="str">
        <f>"00747201"</f>
        <v>00747201</v>
      </c>
      <c r="K5568" s="1" t="str">
        <f>"４６６　　　　　　　　　　　　　　　　　"</f>
        <v>４６６　　　　　　　　　　　　　　　　　</v>
      </c>
      <c r="L5568" s="1"/>
    </row>
    <row r="5569" spans="1:12" ht="18" customHeight="1" x14ac:dyDescent="0.15">
      <c r="A5569" s="1">
        <v>4985</v>
      </c>
      <c r="B5569" s="1" t="s">
        <v>502</v>
      </c>
      <c r="C5569" s="1" t="s">
        <v>519</v>
      </c>
      <c r="D5569" s="1">
        <v>1</v>
      </c>
      <c r="E5569" s="1" t="s">
        <v>61</v>
      </c>
      <c r="F5569" s="2">
        <v>76000</v>
      </c>
      <c r="G5569" s="2" t="s">
        <v>667</v>
      </c>
      <c r="H5569" s="1" t="str">
        <f t="shared" si="184"/>
        <v>平成22年2月26日</v>
      </c>
      <c r="I5569" s="22">
        <f t="shared" si="183"/>
        <v>40235</v>
      </c>
      <c r="J5569" s="1" t="str">
        <f>"00747203"</f>
        <v>00747203</v>
      </c>
      <c r="K5569" s="1" t="str">
        <f>"４６７　　　　　　　　　　　　　　　　　"</f>
        <v>４６７　　　　　　　　　　　　　　　　　</v>
      </c>
      <c r="L5569" s="1"/>
    </row>
    <row r="5570" spans="1:12" ht="18" customHeight="1" x14ac:dyDescent="0.15">
      <c r="A5570" s="1">
        <v>4986</v>
      </c>
      <c r="B5570" s="1" t="s">
        <v>502</v>
      </c>
      <c r="C5570" s="1" t="s">
        <v>519</v>
      </c>
      <c r="D5570" s="1">
        <v>1</v>
      </c>
      <c r="E5570" s="1" t="s">
        <v>61</v>
      </c>
      <c r="F5570" s="2">
        <v>76000</v>
      </c>
      <c r="G5570" s="2" t="s">
        <v>667</v>
      </c>
      <c r="H5570" s="1" t="str">
        <f t="shared" si="184"/>
        <v>平成22年2月26日</v>
      </c>
      <c r="I5570" s="22">
        <f t="shared" si="183"/>
        <v>40235</v>
      </c>
      <c r="J5570" s="1" t="str">
        <f>"00747205"</f>
        <v>00747205</v>
      </c>
      <c r="K5570" s="1" t="str">
        <f>"４６８　　　　　　　　　　　　　　　　　"</f>
        <v>４６８　　　　　　　　　　　　　　　　　</v>
      </c>
      <c r="L5570" s="1"/>
    </row>
    <row r="5571" spans="1:12" ht="18" customHeight="1" x14ac:dyDescent="0.15">
      <c r="A5571" s="1">
        <v>4987</v>
      </c>
      <c r="B5571" s="1" t="s">
        <v>502</v>
      </c>
      <c r="C5571" s="1" t="s">
        <v>519</v>
      </c>
      <c r="D5571" s="1">
        <v>1</v>
      </c>
      <c r="E5571" s="1" t="s">
        <v>61</v>
      </c>
      <c r="F5571" s="2">
        <v>76000</v>
      </c>
      <c r="G5571" s="2" t="s">
        <v>667</v>
      </c>
      <c r="H5571" s="1" t="str">
        <f t="shared" si="184"/>
        <v>平成22年2月26日</v>
      </c>
      <c r="I5571" s="22">
        <f t="shared" si="183"/>
        <v>40235</v>
      </c>
      <c r="J5571" s="1" t="str">
        <f>"00747207"</f>
        <v>00747207</v>
      </c>
      <c r="K5571" s="1" t="str">
        <f>"４６９　　　　　　　　　　　　　　　　　"</f>
        <v>４６９　　　　　　　　　　　　　　　　　</v>
      </c>
      <c r="L5571" s="1"/>
    </row>
    <row r="5572" spans="1:12" ht="18" customHeight="1" x14ac:dyDescent="0.15">
      <c r="A5572" s="1">
        <v>4988</v>
      </c>
      <c r="B5572" s="1" t="s">
        <v>502</v>
      </c>
      <c r="C5572" s="1" t="s">
        <v>519</v>
      </c>
      <c r="D5572" s="1">
        <v>1</v>
      </c>
      <c r="E5572" s="1" t="s">
        <v>61</v>
      </c>
      <c r="F5572" s="2">
        <v>76000</v>
      </c>
      <c r="G5572" s="2" t="s">
        <v>667</v>
      </c>
      <c r="H5572" s="1" t="str">
        <f t="shared" si="184"/>
        <v>平成22年2月26日</v>
      </c>
      <c r="I5572" s="22">
        <f t="shared" si="183"/>
        <v>40235</v>
      </c>
      <c r="J5572" s="1" t="str">
        <f>"00747209"</f>
        <v>00747209</v>
      </c>
      <c r="K5572" s="1" t="str">
        <f>"４７０　　　　　　　　　　　　　　　　　"</f>
        <v>４７０　　　　　　　　　　　　　　　　　</v>
      </c>
      <c r="L5572" s="1"/>
    </row>
    <row r="5573" spans="1:12" ht="18" customHeight="1" x14ac:dyDescent="0.15">
      <c r="A5573" s="1">
        <v>4989</v>
      </c>
      <c r="B5573" s="1" t="s">
        <v>502</v>
      </c>
      <c r="C5573" s="1" t="s">
        <v>519</v>
      </c>
      <c r="D5573" s="1">
        <v>1</v>
      </c>
      <c r="E5573" s="1" t="s">
        <v>61</v>
      </c>
      <c r="F5573" s="2">
        <v>76000</v>
      </c>
      <c r="G5573" s="2" t="s">
        <v>667</v>
      </c>
      <c r="H5573" s="1" t="str">
        <f t="shared" si="184"/>
        <v>平成22年2月26日</v>
      </c>
      <c r="I5573" s="22">
        <f t="shared" si="183"/>
        <v>40235</v>
      </c>
      <c r="J5573" s="1" t="str">
        <f>"00747211"</f>
        <v>00747211</v>
      </c>
      <c r="K5573" s="1" t="str">
        <f>"４７１　　　　　　　　　　　　　　　　　"</f>
        <v>４７１　　　　　　　　　　　　　　　　　</v>
      </c>
      <c r="L5573" s="1"/>
    </row>
    <row r="5574" spans="1:12" ht="18" customHeight="1" x14ac:dyDescent="0.15">
      <c r="A5574" s="1">
        <v>4990</v>
      </c>
      <c r="B5574" s="1" t="s">
        <v>502</v>
      </c>
      <c r="C5574" s="1" t="s">
        <v>519</v>
      </c>
      <c r="D5574" s="1">
        <v>1</v>
      </c>
      <c r="E5574" s="1" t="s">
        <v>61</v>
      </c>
      <c r="F5574" s="2">
        <v>76000</v>
      </c>
      <c r="G5574" s="2" t="s">
        <v>667</v>
      </c>
      <c r="H5574" s="1" t="str">
        <f t="shared" si="184"/>
        <v>平成22年2月26日</v>
      </c>
      <c r="I5574" s="22">
        <f t="shared" si="183"/>
        <v>40235</v>
      </c>
      <c r="J5574" s="1" t="str">
        <f>"00747213"</f>
        <v>00747213</v>
      </c>
      <c r="K5574" s="1" t="str">
        <f>"４７２　　　　　　　　　　　　　　　　　"</f>
        <v>４７２　　　　　　　　　　　　　　　　　</v>
      </c>
      <c r="L5574" s="1"/>
    </row>
    <row r="5575" spans="1:12" ht="18" customHeight="1" x14ac:dyDescent="0.15">
      <c r="A5575" s="1">
        <v>4991</v>
      </c>
      <c r="B5575" s="1" t="s">
        <v>502</v>
      </c>
      <c r="C5575" s="1" t="s">
        <v>519</v>
      </c>
      <c r="D5575" s="1">
        <v>1</v>
      </c>
      <c r="E5575" s="1" t="s">
        <v>61</v>
      </c>
      <c r="F5575" s="2">
        <v>76000</v>
      </c>
      <c r="G5575" s="2" t="s">
        <v>667</v>
      </c>
      <c r="H5575" s="1" t="str">
        <f t="shared" si="184"/>
        <v>平成22年2月26日</v>
      </c>
      <c r="I5575" s="22">
        <f t="shared" si="183"/>
        <v>40235</v>
      </c>
      <c r="J5575" s="1" t="str">
        <f>"00747215"</f>
        <v>00747215</v>
      </c>
      <c r="K5575" s="1" t="str">
        <f>"４７３　　　　　　　　　　　　　　　　　"</f>
        <v>４７３　　　　　　　　　　　　　　　　　</v>
      </c>
      <c r="L5575" s="1"/>
    </row>
    <row r="5576" spans="1:12" ht="18" customHeight="1" x14ac:dyDescent="0.15">
      <c r="A5576" s="1">
        <v>4992</v>
      </c>
      <c r="B5576" s="1" t="s">
        <v>502</v>
      </c>
      <c r="C5576" s="1" t="s">
        <v>519</v>
      </c>
      <c r="D5576" s="1">
        <v>1</v>
      </c>
      <c r="E5576" s="1" t="s">
        <v>61</v>
      </c>
      <c r="F5576" s="2">
        <v>76000</v>
      </c>
      <c r="G5576" s="2" t="s">
        <v>667</v>
      </c>
      <c r="H5576" s="1" t="str">
        <f t="shared" si="184"/>
        <v>平成22年2月26日</v>
      </c>
      <c r="I5576" s="22">
        <f t="shared" si="183"/>
        <v>40235</v>
      </c>
      <c r="J5576" s="1" t="str">
        <f>"00747217"</f>
        <v>00747217</v>
      </c>
      <c r="K5576" s="1" t="str">
        <f>"４７４　　　　　　　　　　　　　　　　　"</f>
        <v>４７４　　　　　　　　　　　　　　　　　</v>
      </c>
      <c r="L5576" s="1"/>
    </row>
    <row r="5577" spans="1:12" ht="18" customHeight="1" x14ac:dyDescent="0.15">
      <c r="A5577" s="1">
        <v>4993</v>
      </c>
      <c r="B5577" s="1" t="s">
        <v>502</v>
      </c>
      <c r="C5577" s="1" t="s">
        <v>519</v>
      </c>
      <c r="D5577" s="1">
        <v>1</v>
      </c>
      <c r="E5577" s="1" t="s">
        <v>61</v>
      </c>
      <c r="F5577" s="2">
        <v>76000</v>
      </c>
      <c r="G5577" s="2" t="s">
        <v>667</v>
      </c>
      <c r="H5577" s="1" t="str">
        <f t="shared" si="184"/>
        <v>平成22年2月26日</v>
      </c>
      <c r="I5577" s="22">
        <f t="shared" si="183"/>
        <v>40235</v>
      </c>
      <c r="J5577" s="1" t="str">
        <f>"00747219"</f>
        <v>00747219</v>
      </c>
      <c r="K5577" s="1" t="str">
        <f>"４７５　　　　　　　　　　　　　　　　　"</f>
        <v>４７５　　　　　　　　　　　　　　　　　</v>
      </c>
      <c r="L5577" s="1"/>
    </row>
    <row r="5578" spans="1:12" ht="18" customHeight="1" x14ac:dyDescent="0.15">
      <c r="A5578" s="1">
        <v>4994</v>
      </c>
      <c r="B5578" s="1" t="s">
        <v>502</v>
      </c>
      <c r="C5578" s="1" t="s">
        <v>519</v>
      </c>
      <c r="D5578" s="1">
        <v>1</v>
      </c>
      <c r="E5578" s="1" t="s">
        <v>61</v>
      </c>
      <c r="F5578" s="2">
        <v>76000</v>
      </c>
      <c r="G5578" s="2" t="s">
        <v>667</v>
      </c>
      <c r="H5578" s="1" t="str">
        <f t="shared" si="184"/>
        <v>平成22年2月26日</v>
      </c>
      <c r="I5578" s="22">
        <f t="shared" si="183"/>
        <v>40235</v>
      </c>
      <c r="J5578" s="1" t="str">
        <f>"00747221"</f>
        <v>00747221</v>
      </c>
      <c r="K5578" s="1" t="str">
        <f>"４７６　　　　　　　　　　　　　　　　　"</f>
        <v>４７６　　　　　　　　　　　　　　　　　</v>
      </c>
      <c r="L5578" s="1"/>
    </row>
    <row r="5579" spans="1:12" ht="18" customHeight="1" x14ac:dyDescent="0.15">
      <c r="A5579" s="1">
        <v>4995</v>
      </c>
      <c r="B5579" s="1" t="s">
        <v>502</v>
      </c>
      <c r="C5579" s="1" t="s">
        <v>519</v>
      </c>
      <c r="D5579" s="1">
        <v>1</v>
      </c>
      <c r="E5579" s="1" t="s">
        <v>61</v>
      </c>
      <c r="F5579" s="2">
        <v>76000</v>
      </c>
      <c r="G5579" s="2" t="s">
        <v>667</v>
      </c>
      <c r="H5579" s="1" t="str">
        <f t="shared" si="184"/>
        <v>平成22年2月26日</v>
      </c>
      <c r="I5579" s="22">
        <f t="shared" si="183"/>
        <v>40235</v>
      </c>
      <c r="J5579" s="1" t="str">
        <f>"00747223"</f>
        <v>00747223</v>
      </c>
      <c r="K5579" s="1" t="str">
        <f>"４７７　　　　　　　　　　　　　　　　　"</f>
        <v>４７７　　　　　　　　　　　　　　　　　</v>
      </c>
      <c r="L5579" s="1"/>
    </row>
    <row r="5580" spans="1:12" ht="18" customHeight="1" x14ac:dyDescent="0.15">
      <c r="A5580" s="1">
        <v>4996</v>
      </c>
      <c r="B5580" s="1" t="s">
        <v>502</v>
      </c>
      <c r="C5580" s="1" t="s">
        <v>519</v>
      </c>
      <c r="D5580" s="1">
        <v>1</v>
      </c>
      <c r="E5580" s="1" t="s">
        <v>61</v>
      </c>
      <c r="F5580" s="2">
        <v>76000</v>
      </c>
      <c r="G5580" s="2" t="s">
        <v>667</v>
      </c>
      <c r="H5580" s="1" t="str">
        <f t="shared" si="184"/>
        <v>平成22年2月26日</v>
      </c>
      <c r="I5580" s="22">
        <f t="shared" si="183"/>
        <v>40235</v>
      </c>
      <c r="J5580" s="1" t="str">
        <f>"00747225"</f>
        <v>00747225</v>
      </c>
      <c r="K5580" s="1" t="str">
        <f>"４７８　　　　　　　　　　　　　　　　　"</f>
        <v>４７８　　　　　　　　　　　　　　　　　</v>
      </c>
      <c r="L5580" s="1"/>
    </row>
    <row r="5581" spans="1:12" ht="18" customHeight="1" x14ac:dyDescent="0.15">
      <c r="A5581" s="1">
        <v>4997</v>
      </c>
      <c r="B5581" s="1" t="s">
        <v>502</v>
      </c>
      <c r="C5581" s="1" t="s">
        <v>519</v>
      </c>
      <c r="D5581" s="1">
        <v>1</v>
      </c>
      <c r="E5581" s="1" t="s">
        <v>61</v>
      </c>
      <c r="F5581" s="2">
        <v>76000</v>
      </c>
      <c r="G5581" s="2" t="s">
        <v>667</v>
      </c>
      <c r="H5581" s="1" t="str">
        <f t="shared" si="184"/>
        <v>平成22年2月26日</v>
      </c>
      <c r="I5581" s="22">
        <f t="shared" si="183"/>
        <v>40235</v>
      </c>
      <c r="J5581" s="1" t="str">
        <f>"00747227"</f>
        <v>00747227</v>
      </c>
      <c r="K5581" s="1" t="str">
        <f>"４７９　　　　　　　　　　　　　　　　　"</f>
        <v>４７９　　　　　　　　　　　　　　　　　</v>
      </c>
      <c r="L5581" s="1"/>
    </row>
    <row r="5582" spans="1:12" ht="18" customHeight="1" x14ac:dyDescent="0.15">
      <c r="A5582" s="1">
        <v>4998</v>
      </c>
      <c r="B5582" s="1" t="s">
        <v>502</v>
      </c>
      <c r="C5582" s="1" t="s">
        <v>519</v>
      </c>
      <c r="D5582" s="1">
        <v>1</v>
      </c>
      <c r="E5582" s="1" t="s">
        <v>61</v>
      </c>
      <c r="F5582" s="2">
        <v>76000</v>
      </c>
      <c r="G5582" s="2" t="s">
        <v>667</v>
      </c>
      <c r="H5582" s="1" t="str">
        <f t="shared" si="184"/>
        <v>平成22年2月26日</v>
      </c>
      <c r="I5582" s="22">
        <f t="shared" si="183"/>
        <v>40235</v>
      </c>
      <c r="J5582" s="1" t="str">
        <f>"00747229"</f>
        <v>00747229</v>
      </c>
      <c r="K5582" s="1" t="str">
        <f>"４８０　　　　　　　　　　　　　　　　　"</f>
        <v>４８０　　　　　　　　　　　　　　　　　</v>
      </c>
      <c r="L5582" s="1"/>
    </row>
    <row r="5583" spans="1:12" ht="18" customHeight="1" x14ac:dyDescent="0.15">
      <c r="A5583" s="1">
        <v>4999</v>
      </c>
      <c r="B5583" s="1" t="s">
        <v>502</v>
      </c>
      <c r="C5583" s="1" t="s">
        <v>519</v>
      </c>
      <c r="D5583" s="1">
        <v>1</v>
      </c>
      <c r="E5583" s="1" t="s">
        <v>61</v>
      </c>
      <c r="F5583" s="2">
        <v>76000</v>
      </c>
      <c r="G5583" s="2" t="s">
        <v>667</v>
      </c>
      <c r="H5583" s="1" t="str">
        <f t="shared" si="184"/>
        <v>平成22年2月26日</v>
      </c>
      <c r="I5583" s="22">
        <f t="shared" si="183"/>
        <v>40235</v>
      </c>
      <c r="J5583" s="1" t="str">
        <f>"00747231"</f>
        <v>00747231</v>
      </c>
      <c r="K5583" s="1" t="str">
        <f>"４８１　　　　　　　　　　　　　　　　　"</f>
        <v>４８１　　　　　　　　　　　　　　　　　</v>
      </c>
      <c r="L5583" s="1"/>
    </row>
    <row r="5584" spans="1:12" ht="18" customHeight="1" x14ac:dyDescent="0.15">
      <c r="A5584" s="1">
        <v>5000</v>
      </c>
      <c r="B5584" s="1" t="s">
        <v>502</v>
      </c>
      <c r="C5584" s="1" t="s">
        <v>519</v>
      </c>
      <c r="D5584" s="1">
        <v>1</v>
      </c>
      <c r="E5584" s="1" t="s">
        <v>61</v>
      </c>
      <c r="F5584" s="2">
        <v>76000</v>
      </c>
      <c r="G5584" s="2" t="s">
        <v>667</v>
      </c>
      <c r="H5584" s="1" t="str">
        <f t="shared" si="184"/>
        <v>平成22年2月26日</v>
      </c>
      <c r="I5584" s="22">
        <f t="shared" si="183"/>
        <v>40235</v>
      </c>
      <c r="J5584" s="1" t="str">
        <f>"00747233"</f>
        <v>00747233</v>
      </c>
      <c r="K5584" s="1" t="str">
        <f>"４８２　　　　　　　　　　　　　　　　　"</f>
        <v>４８２　　　　　　　　　　　　　　　　　</v>
      </c>
      <c r="L5584" s="1"/>
    </row>
    <row r="5585" spans="1:12" ht="18" customHeight="1" x14ac:dyDescent="0.15">
      <c r="A5585" s="1">
        <v>5001</v>
      </c>
      <c r="B5585" s="1" t="s">
        <v>502</v>
      </c>
      <c r="C5585" s="1" t="s">
        <v>519</v>
      </c>
      <c r="D5585" s="1">
        <v>1</v>
      </c>
      <c r="E5585" s="1" t="s">
        <v>61</v>
      </c>
      <c r="F5585" s="2">
        <v>76000</v>
      </c>
      <c r="G5585" s="2" t="s">
        <v>667</v>
      </c>
      <c r="H5585" s="1" t="str">
        <f t="shared" si="184"/>
        <v>平成22年2月26日</v>
      </c>
      <c r="I5585" s="22">
        <f t="shared" si="183"/>
        <v>40235</v>
      </c>
      <c r="J5585" s="1" t="str">
        <f>"00747234"</f>
        <v>00747234</v>
      </c>
      <c r="K5585" s="1" t="str">
        <f>"４８３　　　　　　　　　　　　　　　　　"</f>
        <v>４８３　　　　　　　　　　　　　　　　　</v>
      </c>
      <c r="L5585" s="1"/>
    </row>
    <row r="5586" spans="1:12" ht="18" customHeight="1" x14ac:dyDescent="0.15">
      <c r="A5586" s="1">
        <v>5002</v>
      </c>
      <c r="B5586" s="1" t="s">
        <v>502</v>
      </c>
      <c r="C5586" s="1" t="s">
        <v>519</v>
      </c>
      <c r="D5586" s="1">
        <v>1</v>
      </c>
      <c r="E5586" s="1" t="s">
        <v>61</v>
      </c>
      <c r="F5586" s="2">
        <v>76000</v>
      </c>
      <c r="G5586" s="2" t="s">
        <v>667</v>
      </c>
      <c r="H5586" s="1" t="str">
        <f t="shared" si="184"/>
        <v>平成22年2月26日</v>
      </c>
      <c r="I5586" s="22">
        <f t="shared" si="183"/>
        <v>40235</v>
      </c>
      <c r="J5586" s="1" t="str">
        <f>"00747236"</f>
        <v>00747236</v>
      </c>
      <c r="K5586" s="1" t="str">
        <f>"４８４　　　　　　　　　　　　　　　　　"</f>
        <v>４８４　　　　　　　　　　　　　　　　　</v>
      </c>
      <c r="L5586" s="1"/>
    </row>
    <row r="5587" spans="1:12" ht="18" customHeight="1" x14ac:dyDescent="0.15">
      <c r="A5587" s="1">
        <v>5003</v>
      </c>
      <c r="B5587" s="1" t="s">
        <v>502</v>
      </c>
      <c r="C5587" s="1" t="s">
        <v>519</v>
      </c>
      <c r="D5587" s="1">
        <v>1</v>
      </c>
      <c r="E5587" s="1" t="s">
        <v>61</v>
      </c>
      <c r="F5587" s="2">
        <v>76000</v>
      </c>
      <c r="G5587" s="2" t="s">
        <v>667</v>
      </c>
      <c r="H5587" s="1" t="str">
        <f t="shared" si="184"/>
        <v>平成22年2月26日</v>
      </c>
      <c r="I5587" s="22">
        <f t="shared" si="183"/>
        <v>40235</v>
      </c>
      <c r="J5587" s="1" t="str">
        <f>"00747238"</f>
        <v>00747238</v>
      </c>
      <c r="K5587" s="1" t="str">
        <f>"４８５　　　　　　　　　　　　　　　　　"</f>
        <v>４８５　　　　　　　　　　　　　　　　　</v>
      </c>
      <c r="L5587" s="1"/>
    </row>
    <row r="5588" spans="1:12" ht="18" customHeight="1" x14ac:dyDescent="0.15">
      <c r="A5588" s="1">
        <v>5004</v>
      </c>
      <c r="B5588" s="1" t="s">
        <v>502</v>
      </c>
      <c r="C5588" s="1" t="s">
        <v>519</v>
      </c>
      <c r="D5588" s="1">
        <v>1</v>
      </c>
      <c r="E5588" s="1" t="s">
        <v>61</v>
      </c>
      <c r="F5588" s="2">
        <v>76000</v>
      </c>
      <c r="G5588" s="2" t="s">
        <v>667</v>
      </c>
      <c r="H5588" s="1" t="str">
        <f t="shared" si="184"/>
        <v>平成22年2月26日</v>
      </c>
      <c r="I5588" s="22">
        <f t="shared" si="183"/>
        <v>40235</v>
      </c>
      <c r="J5588" s="1" t="str">
        <f>"00747240"</f>
        <v>00747240</v>
      </c>
      <c r="K5588" s="1" t="str">
        <f>"４８６　　　　　　　　　　　　　　　　　"</f>
        <v>４８６　　　　　　　　　　　　　　　　　</v>
      </c>
      <c r="L5588" s="1"/>
    </row>
    <row r="5589" spans="1:12" ht="18" customHeight="1" x14ac:dyDescent="0.15">
      <c r="A5589" s="1">
        <v>5005</v>
      </c>
      <c r="B5589" s="1" t="s">
        <v>502</v>
      </c>
      <c r="C5589" s="1" t="s">
        <v>519</v>
      </c>
      <c r="D5589" s="1">
        <v>1</v>
      </c>
      <c r="E5589" s="1" t="s">
        <v>61</v>
      </c>
      <c r="F5589" s="2">
        <v>76000</v>
      </c>
      <c r="G5589" s="2" t="s">
        <v>667</v>
      </c>
      <c r="H5589" s="1" t="str">
        <f t="shared" si="184"/>
        <v>平成22年2月26日</v>
      </c>
      <c r="I5589" s="22">
        <f t="shared" si="183"/>
        <v>40235</v>
      </c>
      <c r="J5589" s="1" t="str">
        <f>"00747242"</f>
        <v>00747242</v>
      </c>
      <c r="K5589" s="1" t="str">
        <f>"４８７　　　　　　　　　　　　　　　　　"</f>
        <v>４８７　　　　　　　　　　　　　　　　　</v>
      </c>
      <c r="L5589" s="1"/>
    </row>
    <row r="5590" spans="1:12" ht="18" customHeight="1" x14ac:dyDescent="0.15">
      <c r="A5590" s="1">
        <v>33</v>
      </c>
      <c r="B5590" s="1" t="s">
        <v>46</v>
      </c>
      <c r="C5590" s="1" t="s">
        <v>51</v>
      </c>
      <c r="D5590" s="1">
        <v>1</v>
      </c>
      <c r="E5590" s="1" t="s">
        <v>4</v>
      </c>
      <c r="F5590" s="2">
        <v>1984500</v>
      </c>
      <c r="G5590" s="2" t="s">
        <v>668</v>
      </c>
      <c r="H5590" s="1" t="str">
        <f>"平成23年3月23日"</f>
        <v>平成23年3月23日</v>
      </c>
      <c r="I5590" s="22">
        <f t="shared" si="183"/>
        <v>40625</v>
      </c>
      <c r="J5590" s="1" t="str">
        <f>"00008293"</f>
        <v>00008293</v>
      </c>
      <c r="K5590" s="1" t="str">
        <f>"４７５　　　　　　　　　　　　　　　　　"</f>
        <v>４７５　　　　　　　　　　　　　　　　　</v>
      </c>
      <c r="L5590" s="1"/>
    </row>
    <row r="5591" spans="1:12" ht="18" customHeight="1" x14ac:dyDescent="0.15">
      <c r="A5591" s="1">
        <v>5577</v>
      </c>
      <c r="B5591" s="1" t="s">
        <v>456</v>
      </c>
      <c r="C5591" s="1" t="s">
        <v>657</v>
      </c>
      <c r="D5591" s="1">
        <v>1</v>
      </c>
      <c r="E5591" s="1" t="s">
        <v>588</v>
      </c>
      <c r="F5591" s="2">
        <v>312900</v>
      </c>
      <c r="G5591" s="38" t="s">
        <v>674</v>
      </c>
      <c r="H5591" s="1" t="str">
        <f t="shared" ref="H5591:H5644" si="185">"平成24年4月1日"</f>
        <v>平成24年4月1日</v>
      </c>
      <c r="I5591" s="22">
        <f t="shared" si="183"/>
        <v>41000</v>
      </c>
      <c r="J5591" s="1" t="str">
        <f>"00806903"</f>
        <v>00806903</v>
      </c>
      <c r="K5591" s="1" t="str">
        <f t="shared" ref="K5591:K5654" si="186">"                                        "</f>
        <v xml:space="preserve">                                        </v>
      </c>
      <c r="L5591" s="1"/>
    </row>
    <row r="5592" spans="1:12" ht="18" customHeight="1" x14ac:dyDescent="0.15">
      <c r="A5592" s="1">
        <v>5578</v>
      </c>
      <c r="B5592" s="1" t="s">
        <v>456</v>
      </c>
      <c r="C5592" s="1" t="s">
        <v>587</v>
      </c>
      <c r="D5592" s="1">
        <v>1</v>
      </c>
      <c r="E5592" s="1" t="s">
        <v>588</v>
      </c>
      <c r="F5592" s="2">
        <v>312900</v>
      </c>
      <c r="G5592" s="38" t="s">
        <v>674</v>
      </c>
      <c r="H5592" s="1" t="str">
        <f t="shared" si="185"/>
        <v>平成24年4月1日</v>
      </c>
      <c r="I5592" s="22">
        <f t="shared" si="183"/>
        <v>41000</v>
      </c>
      <c r="J5592" s="1" t="str">
        <f>"00806904"</f>
        <v>00806904</v>
      </c>
      <c r="K5592" s="1" t="str">
        <f t="shared" si="186"/>
        <v xml:space="preserve">                                        </v>
      </c>
      <c r="L5592" s="1"/>
    </row>
    <row r="5593" spans="1:12" ht="18" customHeight="1" x14ac:dyDescent="0.15">
      <c r="A5593" s="1">
        <v>5579</v>
      </c>
      <c r="B5593" s="1" t="s">
        <v>589</v>
      </c>
      <c r="C5593" s="1" t="s">
        <v>590</v>
      </c>
      <c r="D5593" s="1">
        <v>1</v>
      </c>
      <c r="E5593" s="1" t="s">
        <v>61</v>
      </c>
      <c r="F5593" s="2">
        <v>157500</v>
      </c>
      <c r="G5593" s="2" t="s">
        <v>667</v>
      </c>
      <c r="H5593" s="1" t="str">
        <f t="shared" si="185"/>
        <v>平成24年4月1日</v>
      </c>
      <c r="I5593" s="22">
        <f t="shared" si="183"/>
        <v>41000</v>
      </c>
      <c r="J5593" s="1" t="str">
        <f>"00806905"</f>
        <v>00806905</v>
      </c>
      <c r="K5593" s="1" t="str">
        <f t="shared" si="186"/>
        <v xml:space="preserve">                                        </v>
      </c>
      <c r="L5593" s="1"/>
    </row>
    <row r="5594" spans="1:12" ht="18" customHeight="1" x14ac:dyDescent="0.15">
      <c r="A5594" s="1">
        <v>5580</v>
      </c>
      <c r="B5594" s="1" t="s">
        <v>589</v>
      </c>
      <c r="C5594" s="1" t="s">
        <v>591</v>
      </c>
      <c r="D5594" s="1">
        <v>1</v>
      </c>
      <c r="E5594" s="1" t="s">
        <v>61</v>
      </c>
      <c r="F5594" s="2">
        <v>54600</v>
      </c>
      <c r="G5594" s="2" t="s">
        <v>667</v>
      </c>
      <c r="H5594" s="1" t="str">
        <f t="shared" si="185"/>
        <v>平成24年4月1日</v>
      </c>
      <c r="I5594" s="22">
        <f t="shared" ref="I5594:I5657" si="187">DATEVALUE(H5594)</f>
        <v>41000</v>
      </c>
      <c r="J5594" s="1" t="str">
        <f>"00806906"</f>
        <v>00806906</v>
      </c>
      <c r="K5594" s="1" t="str">
        <f t="shared" si="186"/>
        <v xml:space="preserve">                                        </v>
      </c>
      <c r="L5594" s="1"/>
    </row>
    <row r="5595" spans="1:12" ht="18" customHeight="1" x14ac:dyDescent="0.15">
      <c r="A5595" s="1">
        <v>5581</v>
      </c>
      <c r="B5595" s="1" t="s">
        <v>477</v>
      </c>
      <c r="C5595" s="1" t="s">
        <v>592</v>
      </c>
      <c r="D5595" s="1">
        <v>1</v>
      </c>
      <c r="E5595" s="1" t="s">
        <v>61</v>
      </c>
      <c r="F5595" s="2">
        <v>26250</v>
      </c>
      <c r="G5595" s="2" t="s">
        <v>667</v>
      </c>
      <c r="H5595" s="1" t="str">
        <f t="shared" si="185"/>
        <v>平成24年4月1日</v>
      </c>
      <c r="I5595" s="22">
        <f t="shared" si="187"/>
        <v>41000</v>
      </c>
      <c r="J5595" s="1" t="str">
        <f>"00806907"</f>
        <v>00806907</v>
      </c>
      <c r="K5595" s="1" t="str">
        <f t="shared" si="186"/>
        <v xml:space="preserve">                                        </v>
      </c>
      <c r="L5595" s="1"/>
    </row>
    <row r="5596" spans="1:12" ht="18" customHeight="1" x14ac:dyDescent="0.15">
      <c r="A5596" s="1">
        <v>5582</v>
      </c>
      <c r="B5596" s="1" t="s">
        <v>477</v>
      </c>
      <c r="C5596" s="1" t="s">
        <v>592</v>
      </c>
      <c r="D5596" s="1">
        <v>1</v>
      </c>
      <c r="E5596" s="1" t="s">
        <v>61</v>
      </c>
      <c r="F5596" s="2">
        <v>26250</v>
      </c>
      <c r="G5596" s="2" t="s">
        <v>667</v>
      </c>
      <c r="H5596" s="1" t="str">
        <f t="shared" si="185"/>
        <v>平成24年4月1日</v>
      </c>
      <c r="I5596" s="22">
        <f t="shared" si="187"/>
        <v>41000</v>
      </c>
      <c r="J5596" s="1" t="str">
        <f>"00806908"</f>
        <v>00806908</v>
      </c>
      <c r="K5596" s="1" t="str">
        <f t="shared" si="186"/>
        <v xml:space="preserve">                                        </v>
      </c>
      <c r="L5596" s="1"/>
    </row>
    <row r="5597" spans="1:12" ht="18" customHeight="1" x14ac:dyDescent="0.15">
      <c r="A5597" s="1">
        <v>5583</v>
      </c>
      <c r="B5597" s="1" t="s">
        <v>477</v>
      </c>
      <c r="C5597" s="1" t="s">
        <v>592</v>
      </c>
      <c r="D5597" s="1">
        <v>1</v>
      </c>
      <c r="E5597" s="1" t="s">
        <v>61</v>
      </c>
      <c r="F5597" s="2">
        <v>26250</v>
      </c>
      <c r="G5597" s="2" t="s">
        <v>667</v>
      </c>
      <c r="H5597" s="1" t="str">
        <f t="shared" si="185"/>
        <v>平成24年4月1日</v>
      </c>
      <c r="I5597" s="22">
        <f t="shared" si="187"/>
        <v>41000</v>
      </c>
      <c r="J5597" s="1" t="str">
        <f>"00806909"</f>
        <v>00806909</v>
      </c>
      <c r="K5597" s="1" t="str">
        <f t="shared" si="186"/>
        <v xml:space="preserve">                                        </v>
      </c>
      <c r="L5597" s="1"/>
    </row>
    <row r="5598" spans="1:12" ht="18" customHeight="1" x14ac:dyDescent="0.15">
      <c r="A5598" s="1">
        <v>5584</v>
      </c>
      <c r="B5598" s="1" t="s">
        <v>59</v>
      </c>
      <c r="C5598" s="1" t="s">
        <v>593</v>
      </c>
      <c r="D5598" s="1">
        <v>1</v>
      </c>
      <c r="E5598" s="1" t="s">
        <v>61</v>
      </c>
      <c r="F5598" s="2">
        <v>30450</v>
      </c>
      <c r="G5598" s="2" t="s">
        <v>667</v>
      </c>
      <c r="H5598" s="1" t="str">
        <f t="shared" si="185"/>
        <v>平成24年4月1日</v>
      </c>
      <c r="I5598" s="22">
        <f t="shared" si="187"/>
        <v>41000</v>
      </c>
      <c r="J5598" s="1" t="str">
        <f>"00806910"</f>
        <v>00806910</v>
      </c>
      <c r="K5598" s="1" t="str">
        <f t="shared" si="186"/>
        <v xml:space="preserve">                                        </v>
      </c>
      <c r="L5598" s="1"/>
    </row>
    <row r="5599" spans="1:12" ht="18" customHeight="1" x14ac:dyDescent="0.15">
      <c r="A5599" s="1">
        <v>5585</v>
      </c>
      <c r="B5599" s="1" t="s">
        <v>59</v>
      </c>
      <c r="C5599" s="1" t="s">
        <v>593</v>
      </c>
      <c r="D5599" s="1">
        <v>1</v>
      </c>
      <c r="E5599" s="1" t="s">
        <v>61</v>
      </c>
      <c r="F5599" s="2">
        <v>30450</v>
      </c>
      <c r="G5599" s="2" t="s">
        <v>667</v>
      </c>
      <c r="H5599" s="1" t="str">
        <f t="shared" si="185"/>
        <v>平成24年4月1日</v>
      </c>
      <c r="I5599" s="22">
        <f t="shared" si="187"/>
        <v>41000</v>
      </c>
      <c r="J5599" s="1" t="str">
        <f>"00806911"</f>
        <v>00806911</v>
      </c>
      <c r="K5599" s="1" t="str">
        <f t="shared" si="186"/>
        <v xml:space="preserve">                                        </v>
      </c>
      <c r="L5599" s="1"/>
    </row>
    <row r="5600" spans="1:12" ht="18" customHeight="1" x14ac:dyDescent="0.15">
      <c r="A5600" s="1">
        <v>5586</v>
      </c>
      <c r="B5600" s="1" t="s">
        <v>59</v>
      </c>
      <c r="C5600" s="1" t="s">
        <v>593</v>
      </c>
      <c r="D5600" s="1">
        <v>1</v>
      </c>
      <c r="E5600" s="1" t="s">
        <v>61</v>
      </c>
      <c r="F5600" s="2">
        <v>30450</v>
      </c>
      <c r="G5600" s="2" t="s">
        <v>667</v>
      </c>
      <c r="H5600" s="1" t="str">
        <f t="shared" si="185"/>
        <v>平成24年4月1日</v>
      </c>
      <c r="I5600" s="22">
        <f t="shared" si="187"/>
        <v>41000</v>
      </c>
      <c r="J5600" s="1" t="str">
        <f>"00806912"</f>
        <v>00806912</v>
      </c>
      <c r="K5600" s="1" t="str">
        <f t="shared" si="186"/>
        <v xml:space="preserve">                                        </v>
      </c>
      <c r="L5600" s="1"/>
    </row>
    <row r="5601" spans="1:12" ht="18" customHeight="1" x14ac:dyDescent="0.15">
      <c r="A5601" s="1">
        <v>5587</v>
      </c>
      <c r="B5601" s="1" t="s">
        <v>59</v>
      </c>
      <c r="C5601" s="1" t="s">
        <v>593</v>
      </c>
      <c r="D5601" s="1">
        <v>1</v>
      </c>
      <c r="E5601" s="1" t="s">
        <v>61</v>
      </c>
      <c r="F5601" s="2">
        <v>30450</v>
      </c>
      <c r="G5601" s="2" t="s">
        <v>667</v>
      </c>
      <c r="H5601" s="1" t="str">
        <f t="shared" si="185"/>
        <v>平成24年4月1日</v>
      </c>
      <c r="I5601" s="22">
        <f t="shared" si="187"/>
        <v>41000</v>
      </c>
      <c r="J5601" s="1" t="str">
        <f>"00806913"</f>
        <v>00806913</v>
      </c>
      <c r="K5601" s="1" t="str">
        <f t="shared" si="186"/>
        <v xml:space="preserve">                                        </v>
      </c>
      <c r="L5601" s="1"/>
    </row>
    <row r="5602" spans="1:12" ht="18" customHeight="1" x14ac:dyDescent="0.15">
      <c r="A5602" s="1">
        <v>5588</v>
      </c>
      <c r="B5602" s="1" t="s">
        <v>59</v>
      </c>
      <c r="C5602" s="1" t="s">
        <v>593</v>
      </c>
      <c r="D5602" s="1">
        <v>1</v>
      </c>
      <c r="E5602" s="1" t="s">
        <v>61</v>
      </c>
      <c r="F5602" s="2">
        <v>30450</v>
      </c>
      <c r="G5602" s="2" t="s">
        <v>667</v>
      </c>
      <c r="H5602" s="1" t="str">
        <f t="shared" si="185"/>
        <v>平成24年4月1日</v>
      </c>
      <c r="I5602" s="22">
        <f t="shared" si="187"/>
        <v>41000</v>
      </c>
      <c r="J5602" s="1" t="str">
        <f>"00806914"</f>
        <v>00806914</v>
      </c>
      <c r="K5602" s="1" t="str">
        <f t="shared" si="186"/>
        <v xml:space="preserve">                                        </v>
      </c>
      <c r="L5602" s="1"/>
    </row>
    <row r="5603" spans="1:12" ht="18" customHeight="1" x14ac:dyDescent="0.15">
      <c r="A5603" s="1">
        <v>5589</v>
      </c>
      <c r="B5603" s="1" t="s">
        <v>59</v>
      </c>
      <c r="C5603" s="1" t="s">
        <v>593</v>
      </c>
      <c r="D5603" s="1">
        <v>1</v>
      </c>
      <c r="E5603" s="1" t="s">
        <v>61</v>
      </c>
      <c r="F5603" s="2">
        <v>30450</v>
      </c>
      <c r="G5603" s="2" t="s">
        <v>667</v>
      </c>
      <c r="H5603" s="1" t="str">
        <f t="shared" si="185"/>
        <v>平成24年4月1日</v>
      </c>
      <c r="I5603" s="22">
        <f t="shared" si="187"/>
        <v>41000</v>
      </c>
      <c r="J5603" s="1" t="str">
        <f>"00806915"</f>
        <v>00806915</v>
      </c>
      <c r="K5603" s="1" t="str">
        <f t="shared" si="186"/>
        <v xml:space="preserve">                                        </v>
      </c>
      <c r="L5603" s="1"/>
    </row>
    <row r="5604" spans="1:12" ht="18" customHeight="1" x14ac:dyDescent="0.15">
      <c r="A5604" s="1">
        <v>5590</v>
      </c>
      <c r="B5604" s="1" t="s">
        <v>59</v>
      </c>
      <c r="C5604" s="1" t="s">
        <v>593</v>
      </c>
      <c r="D5604" s="1">
        <v>1</v>
      </c>
      <c r="E5604" s="1" t="s">
        <v>61</v>
      </c>
      <c r="F5604" s="2">
        <v>30450</v>
      </c>
      <c r="G5604" s="2" t="s">
        <v>667</v>
      </c>
      <c r="H5604" s="1" t="str">
        <f t="shared" si="185"/>
        <v>平成24年4月1日</v>
      </c>
      <c r="I5604" s="22">
        <f t="shared" si="187"/>
        <v>41000</v>
      </c>
      <c r="J5604" s="1" t="str">
        <f>"00806916"</f>
        <v>00806916</v>
      </c>
      <c r="K5604" s="1" t="str">
        <f t="shared" si="186"/>
        <v xml:space="preserve">                                        </v>
      </c>
      <c r="L5604" s="1"/>
    </row>
    <row r="5605" spans="1:12" ht="18" customHeight="1" x14ac:dyDescent="0.15">
      <c r="A5605" s="1">
        <v>5591</v>
      </c>
      <c r="B5605" s="1" t="s">
        <v>59</v>
      </c>
      <c r="C5605" s="1" t="s">
        <v>593</v>
      </c>
      <c r="D5605" s="1">
        <v>1</v>
      </c>
      <c r="E5605" s="1" t="s">
        <v>61</v>
      </c>
      <c r="F5605" s="2">
        <v>30450</v>
      </c>
      <c r="G5605" s="2" t="s">
        <v>667</v>
      </c>
      <c r="H5605" s="1" t="str">
        <f t="shared" si="185"/>
        <v>平成24年4月1日</v>
      </c>
      <c r="I5605" s="22">
        <f t="shared" si="187"/>
        <v>41000</v>
      </c>
      <c r="J5605" s="1" t="str">
        <f>"00806917"</f>
        <v>00806917</v>
      </c>
      <c r="K5605" s="1" t="str">
        <f t="shared" si="186"/>
        <v xml:space="preserve">                                        </v>
      </c>
      <c r="L5605" s="1"/>
    </row>
    <row r="5606" spans="1:12" ht="18" customHeight="1" x14ac:dyDescent="0.15">
      <c r="A5606" s="1">
        <v>5592</v>
      </c>
      <c r="B5606" s="1" t="s">
        <v>59</v>
      </c>
      <c r="C5606" s="1" t="s">
        <v>593</v>
      </c>
      <c r="D5606" s="1">
        <v>1</v>
      </c>
      <c r="E5606" s="1" t="s">
        <v>61</v>
      </c>
      <c r="F5606" s="2">
        <v>30450</v>
      </c>
      <c r="G5606" s="2" t="s">
        <v>667</v>
      </c>
      <c r="H5606" s="1" t="str">
        <f t="shared" si="185"/>
        <v>平成24年4月1日</v>
      </c>
      <c r="I5606" s="22">
        <f t="shared" si="187"/>
        <v>41000</v>
      </c>
      <c r="J5606" s="1" t="str">
        <f>"00806918"</f>
        <v>00806918</v>
      </c>
      <c r="K5606" s="1" t="str">
        <f t="shared" si="186"/>
        <v xml:space="preserve">                                        </v>
      </c>
      <c r="L5606" s="1"/>
    </row>
    <row r="5607" spans="1:12" ht="18" customHeight="1" x14ac:dyDescent="0.15">
      <c r="A5607" s="1">
        <v>5593</v>
      </c>
      <c r="B5607" s="1" t="s">
        <v>59</v>
      </c>
      <c r="C5607" s="1" t="s">
        <v>593</v>
      </c>
      <c r="D5607" s="1">
        <v>1</v>
      </c>
      <c r="E5607" s="1" t="s">
        <v>61</v>
      </c>
      <c r="F5607" s="2">
        <v>30450</v>
      </c>
      <c r="G5607" s="2" t="s">
        <v>667</v>
      </c>
      <c r="H5607" s="1" t="str">
        <f t="shared" si="185"/>
        <v>平成24年4月1日</v>
      </c>
      <c r="I5607" s="22">
        <f t="shared" si="187"/>
        <v>41000</v>
      </c>
      <c r="J5607" s="1" t="str">
        <f>"00806919"</f>
        <v>00806919</v>
      </c>
      <c r="K5607" s="1" t="str">
        <f t="shared" si="186"/>
        <v xml:space="preserve">                                        </v>
      </c>
      <c r="L5607" s="1"/>
    </row>
    <row r="5608" spans="1:12" ht="18" customHeight="1" x14ac:dyDescent="0.15">
      <c r="A5608" s="1">
        <v>5594</v>
      </c>
      <c r="B5608" s="1" t="s">
        <v>59</v>
      </c>
      <c r="C5608" s="1" t="s">
        <v>593</v>
      </c>
      <c r="D5608" s="1">
        <v>1</v>
      </c>
      <c r="E5608" s="1" t="s">
        <v>61</v>
      </c>
      <c r="F5608" s="2">
        <v>30450</v>
      </c>
      <c r="G5608" s="2" t="s">
        <v>667</v>
      </c>
      <c r="H5608" s="1" t="str">
        <f t="shared" si="185"/>
        <v>平成24年4月1日</v>
      </c>
      <c r="I5608" s="22">
        <f t="shared" si="187"/>
        <v>41000</v>
      </c>
      <c r="J5608" s="1" t="str">
        <f>"00806920"</f>
        <v>00806920</v>
      </c>
      <c r="K5608" s="1" t="str">
        <f t="shared" si="186"/>
        <v xml:space="preserve">                                        </v>
      </c>
      <c r="L5608" s="1"/>
    </row>
    <row r="5609" spans="1:12" ht="18" customHeight="1" x14ac:dyDescent="0.15">
      <c r="A5609" s="1">
        <v>5595</v>
      </c>
      <c r="B5609" s="1" t="s">
        <v>59</v>
      </c>
      <c r="C5609" s="1" t="s">
        <v>593</v>
      </c>
      <c r="D5609" s="1">
        <v>1</v>
      </c>
      <c r="E5609" s="1" t="s">
        <v>61</v>
      </c>
      <c r="F5609" s="2">
        <v>30450</v>
      </c>
      <c r="G5609" s="2" t="s">
        <v>667</v>
      </c>
      <c r="H5609" s="1" t="str">
        <f t="shared" si="185"/>
        <v>平成24年4月1日</v>
      </c>
      <c r="I5609" s="22">
        <f t="shared" si="187"/>
        <v>41000</v>
      </c>
      <c r="J5609" s="1" t="str">
        <f>"00806921"</f>
        <v>00806921</v>
      </c>
      <c r="K5609" s="1" t="str">
        <f t="shared" si="186"/>
        <v xml:space="preserve">                                        </v>
      </c>
      <c r="L5609" s="1"/>
    </row>
    <row r="5610" spans="1:12" ht="18" customHeight="1" x14ac:dyDescent="0.15">
      <c r="A5610" s="1">
        <v>5596</v>
      </c>
      <c r="B5610" s="1" t="s">
        <v>59</v>
      </c>
      <c r="C5610" s="1" t="s">
        <v>593</v>
      </c>
      <c r="D5610" s="1">
        <v>1</v>
      </c>
      <c r="E5610" s="1" t="s">
        <v>61</v>
      </c>
      <c r="F5610" s="2">
        <v>30450</v>
      </c>
      <c r="G5610" s="2" t="s">
        <v>667</v>
      </c>
      <c r="H5610" s="1" t="str">
        <f t="shared" si="185"/>
        <v>平成24年4月1日</v>
      </c>
      <c r="I5610" s="22">
        <f t="shared" si="187"/>
        <v>41000</v>
      </c>
      <c r="J5610" s="1" t="str">
        <f>"00806922"</f>
        <v>00806922</v>
      </c>
      <c r="K5610" s="1" t="str">
        <f t="shared" si="186"/>
        <v xml:space="preserve">                                        </v>
      </c>
      <c r="L5610" s="1"/>
    </row>
    <row r="5611" spans="1:12" ht="18" customHeight="1" x14ac:dyDescent="0.15">
      <c r="A5611" s="1">
        <v>5597</v>
      </c>
      <c r="B5611" s="1" t="s">
        <v>59</v>
      </c>
      <c r="C5611" s="1" t="s">
        <v>593</v>
      </c>
      <c r="D5611" s="1">
        <v>1</v>
      </c>
      <c r="E5611" s="1" t="s">
        <v>61</v>
      </c>
      <c r="F5611" s="2">
        <v>30450</v>
      </c>
      <c r="G5611" s="2" t="s">
        <v>667</v>
      </c>
      <c r="H5611" s="1" t="str">
        <f t="shared" si="185"/>
        <v>平成24年4月1日</v>
      </c>
      <c r="I5611" s="22">
        <f t="shared" si="187"/>
        <v>41000</v>
      </c>
      <c r="J5611" s="1" t="str">
        <f>"00806923"</f>
        <v>00806923</v>
      </c>
      <c r="K5611" s="1" t="str">
        <f t="shared" si="186"/>
        <v xml:space="preserve">                                        </v>
      </c>
      <c r="L5611" s="1"/>
    </row>
    <row r="5612" spans="1:12" ht="18" customHeight="1" x14ac:dyDescent="0.15">
      <c r="A5612" s="1">
        <v>5598</v>
      </c>
      <c r="B5612" s="1" t="s">
        <v>59</v>
      </c>
      <c r="C5612" s="1" t="s">
        <v>593</v>
      </c>
      <c r="D5612" s="1">
        <v>1</v>
      </c>
      <c r="E5612" s="1" t="s">
        <v>61</v>
      </c>
      <c r="F5612" s="2">
        <v>30450</v>
      </c>
      <c r="G5612" s="2" t="s">
        <v>667</v>
      </c>
      <c r="H5612" s="1" t="str">
        <f t="shared" si="185"/>
        <v>平成24年4月1日</v>
      </c>
      <c r="I5612" s="22">
        <f t="shared" si="187"/>
        <v>41000</v>
      </c>
      <c r="J5612" s="1" t="str">
        <f>"00806924"</f>
        <v>00806924</v>
      </c>
      <c r="K5612" s="1" t="str">
        <f t="shared" si="186"/>
        <v xml:space="preserve">                                        </v>
      </c>
      <c r="L5612" s="1"/>
    </row>
    <row r="5613" spans="1:12" ht="18" customHeight="1" x14ac:dyDescent="0.15">
      <c r="A5613" s="1">
        <v>5599</v>
      </c>
      <c r="B5613" s="1" t="s">
        <v>59</v>
      </c>
      <c r="C5613" s="1" t="s">
        <v>593</v>
      </c>
      <c r="D5613" s="1">
        <v>1</v>
      </c>
      <c r="E5613" s="1" t="s">
        <v>61</v>
      </c>
      <c r="F5613" s="2">
        <v>30450</v>
      </c>
      <c r="G5613" s="2" t="s">
        <v>667</v>
      </c>
      <c r="H5613" s="1" t="str">
        <f t="shared" si="185"/>
        <v>平成24年4月1日</v>
      </c>
      <c r="I5613" s="22">
        <f t="shared" si="187"/>
        <v>41000</v>
      </c>
      <c r="J5613" s="1" t="str">
        <f>"00806925"</f>
        <v>00806925</v>
      </c>
      <c r="K5613" s="1" t="str">
        <f t="shared" si="186"/>
        <v xml:space="preserve">                                        </v>
      </c>
      <c r="L5613" s="1"/>
    </row>
    <row r="5614" spans="1:12" ht="18" customHeight="1" x14ac:dyDescent="0.15">
      <c r="A5614" s="1">
        <v>5600</v>
      </c>
      <c r="B5614" s="1" t="s">
        <v>59</v>
      </c>
      <c r="C5614" s="1" t="s">
        <v>593</v>
      </c>
      <c r="D5614" s="1">
        <v>1</v>
      </c>
      <c r="E5614" s="1" t="s">
        <v>61</v>
      </c>
      <c r="F5614" s="2">
        <v>30450</v>
      </c>
      <c r="G5614" s="2" t="s">
        <v>667</v>
      </c>
      <c r="H5614" s="1" t="str">
        <f t="shared" si="185"/>
        <v>平成24年4月1日</v>
      </c>
      <c r="I5614" s="22">
        <f t="shared" si="187"/>
        <v>41000</v>
      </c>
      <c r="J5614" s="1" t="str">
        <f>"00806926"</f>
        <v>00806926</v>
      </c>
      <c r="K5614" s="1" t="str">
        <f t="shared" si="186"/>
        <v xml:space="preserve">                                        </v>
      </c>
      <c r="L5614" s="1"/>
    </row>
    <row r="5615" spans="1:12" ht="18" customHeight="1" x14ac:dyDescent="0.15">
      <c r="A5615" s="1">
        <v>5601</v>
      </c>
      <c r="B5615" s="1" t="s">
        <v>59</v>
      </c>
      <c r="C5615" s="1" t="s">
        <v>593</v>
      </c>
      <c r="D5615" s="1">
        <v>1</v>
      </c>
      <c r="E5615" s="1" t="s">
        <v>61</v>
      </c>
      <c r="F5615" s="2">
        <v>30450</v>
      </c>
      <c r="G5615" s="2" t="s">
        <v>667</v>
      </c>
      <c r="H5615" s="1" t="str">
        <f t="shared" si="185"/>
        <v>平成24年4月1日</v>
      </c>
      <c r="I5615" s="22">
        <f t="shared" si="187"/>
        <v>41000</v>
      </c>
      <c r="J5615" s="1" t="str">
        <f>"00806927"</f>
        <v>00806927</v>
      </c>
      <c r="K5615" s="1" t="str">
        <f t="shared" si="186"/>
        <v xml:space="preserve">                                        </v>
      </c>
      <c r="L5615" s="1"/>
    </row>
    <row r="5616" spans="1:12" ht="18" customHeight="1" x14ac:dyDescent="0.15">
      <c r="A5616" s="1">
        <v>5602</v>
      </c>
      <c r="B5616" s="1" t="s">
        <v>59</v>
      </c>
      <c r="C5616" s="1" t="s">
        <v>593</v>
      </c>
      <c r="D5616" s="1">
        <v>1</v>
      </c>
      <c r="E5616" s="1" t="s">
        <v>61</v>
      </c>
      <c r="F5616" s="2">
        <v>30450</v>
      </c>
      <c r="G5616" s="2" t="s">
        <v>667</v>
      </c>
      <c r="H5616" s="1" t="str">
        <f t="shared" si="185"/>
        <v>平成24年4月1日</v>
      </c>
      <c r="I5616" s="22">
        <f t="shared" si="187"/>
        <v>41000</v>
      </c>
      <c r="J5616" s="1" t="str">
        <f>"00806928"</f>
        <v>00806928</v>
      </c>
      <c r="K5616" s="1" t="str">
        <f t="shared" si="186"/>
        <v xml:space="preserve">                                        </v>
      </c>
      <c r="L5616" s="1"/>
    </row>
    <row r="5617" spans="1:12" ht="18" customHeight="1" x14ac:dyDescent="0.15">
      <c r="A5617" s="1">
        <v>5603</v>
      </c>
      <c r="B5617" s="1" t="s">
        <v>59</v>
      </c>
      <c r="C5617" s="1" t="s">
        <v>593</v>
      </c>
      <c r="D5617" s="1">
        <v>1</v>
      </c>
      <c r="E5617" s="1" t="s">
        <v>61</v>
      </c>
      <c r="F5617" s="2">
        <v>30450</v>
      </c>
      <c r="G5617" s="2" t="s">
        <v>667</v>
      </c>
      <c r="H5617" s="1" t="str">
        <f t="shared" si="185"/>
        <v>平成24年4月1日</v>
      </c>
      <c r="I5617" s="22">
        <f t="shared" si="187"/>
        <v>41000</v>
      </c>
      <c r="J5617" s="1" t="str">
        <f>"00806929"</f>
        <v>00806929</v>
      </c>
      <c r="K5617" s="1" t="str">
        <f t="shared" si="186"/>
        <v xml:space="preserve">                                        </v>
      </c>
      <c r="L5617" s="1"/>
    </row>
    <row r="5618" spans="1:12" ht="18" customHeight="1" x14ac:dyDescent="0.15">
      <c r="A5618" s="1">
        <v>5604</v>
      </c>
      <c r="B5618" s="1" t="s">
        <v>59</v>
      </c>
      <c r="C5618" s="1" t="s">
        <v>593</v>
      </c>
      <c r="D5618" s="1">
        <v>1</v>
      </c>
      <c r="E5618" s="1" t="s">
        <v>61</v>
      </c>
      <c r="F5618" s="2">
        <v>30450</v>
      </c>
      <c r="G5618" s="2" t="s">
        <v>667</v>
      </c>
      <c r="H5618" s="1" t="str">
        <f t="shared" si="185"/>
        <v>平成24年4月1日</v>
      </c>
      <c r="I5618" s="22">
        <f t="shared" si="187"/>
        <v>41000</v>
      </c>
      <c r="J5618" s="1" t="str">
        <f>"00806930"</f>
        <v>00806930</v>
      </c>
      <c r="K5618" s="1" t="str">
        <f t="shared" si="186"/>
        <v xml:space="preserve">                                        </v>
      </c>
      <c r="L5618" s="1"/>
    </row>
    <row r="5619" spans="1:12" ht="18" customHeight="1" x14ac:dyDescent="0.15">
      <c r="A5619" s="1">
        <v>5605</v>
      </c>
      <c r="B5619" s="1" t="s">
        <v>59</v>
      </c>
      <c r="C5619" s="1" t="s">
        <v>593</v>
      </c>
      <c r="D5619" s="1">
        <v>1</v>
      </c>
      <c r="E5619" s="1" t="s">
        <v>61</v>
      </c>
      <c r="F5619" s="2">
        <v>30450</v>
      </c>
      <c r="G5619" s="2" t="s">
        <v>667</v>
      </c>
      <c r="H5619" s="1" t="str">
        <f t="shared" si="185"/>
        <v>平成24年4月1日</v>
      </c>
      <c r="I5619" s="22">
        <f t="shared" si="187"/>
        <v>41000</v>
      </c>
      <c r="J5619" s="1" t="str">
        <f>"00806931"</f>
        <v>00806931</v>
      </c>
      <c r="K5619" s="1" t="str">
        <f t="shared" si="186"/>
        <v xml:space="preserve">                                        </v>
      </c>
      <c r="L5619" s="1"/>
    </row>
    <row r="5620" spans="1:12" ht="18" customHeight="1" x14ac:dyDescent="0.15">
      <c r="A5620" s="1">
        <v>5606</v>
      </c>
      <c r="B5620" s="1" t="s">
        <v>59</v>
      </c>
      <c r="C5620" s="1" t="s">
        <v>593</v>
      </c>
      <c r="D5620" s="1">
        <v>1</v>
      </c>
      <c r="E5620" s="1" t="s">
        <v>61</v>
      </c>
      <c r="F5620" s="2">
        <v>30450</v>
      </c>
      <c r="G5620" s="2" t="s">
        <v>667</v>
      </c>
      <c r="H5620" s="1" t="str">
        <f t="shared" si="185"/>
        <v>平成24年4月1日</v>
      </c>
      <c r="I5620" s="22">
        <f t="shared" si="187"/>
        <v>41000</v>
      </c>
      <c r="J5620" s="1" t="str">
        <f>"00806932"</f>
        <v>00806932</v>
      </c>
      <c r="K5620" s="1" t="str">
        <f t="shared" si="186"/>
        <v xml:space="preserve">                                        </v>
      </c>
      <c r="L5620" s="1"/>
    </row>
    <row r="5621" spans="1:12" ht="18" customHeight="1" x14ac:dyDescent="0.15">
      <c r="A5621" s="1">
        <v>5607</v>
      </c>
      <c r="B5621" s="1" t="s">
        <v>59</v>
      </c>
      <c r="C5621" s="1" t="s">
        <v>593</v>
      </c>
      <c r="D5621" s="1">
        <v>1</v>
      </c>
      <c r="E5621" s="1" t="s">
        <v>61</v>
      </c>
      <c r="F5621" s="2">
        <v>30450</v>
      </c>
      <c r="G5621" s="2" t="s">
        <v>667</v>
      </c>
      <c r="H5621" s="1" t="str">
        <f t="shared" si="185"/>
        <v>平成24年4月1日</v>
      </c>
      <c r="I5621" s="22">
        <f t="shared" si="187"/>
        <v>41000</v>
      </c>
      <c r="J5621" s="1" t="str">
        <f>"00806933"</f>
        <v>00806933</v>
      </c>
      <c r="K5621" s="1" t="str">
        <f t="shared" si="186"/>
        <v xml:space="preserve">                                        </v>
      </c>
      <c r="L5621" s="1"/>
    </row>
    <row r="5622" spans="1:12" ht="18" customHeight="1" x14ac:dyDescent="0.15">
      <c r="A5622" s="1">
        <v>5608</v>
      </c>
      <c r="B5622" s="1" t="s">
        <v>59</v>
      </c>
      <c r="C5622" s="1" t="s">
        <v>593</v>
      </c>
      <c r="D5622" s="1">
        <v>1</v>
      </c>
      <c r="E5622" s="1" t="s">
        <v>61</v>
      </c>
      <c r="F5622" s="2">
        <v>30450</v>
      </c>
      <c r="G5622" s="2" t="s">
        <v>667</v>
      </c>
      <c r="H5622" s="1" t="str">
        <f t="shared" si="185"/>
        <v>平成24年4月1日</v>
      </c>
      <c r="I5622" s="22">
        <f t="shared" si="187"/>
        <v>41000</v>
      </c>
      <c r="J5622" s="1" t="str">
        <f>"00806934"</f>
        <v>00806934</v>
      </c>
      <c r="K5622" s="1" t="str">
        <f t="shared" si="186"/>
        <v xml:space="preserve">                                        </v>
      </c>
      <c r="L5622" s="1"/>
    </row>
    <row r="5623" spans="1:12" ht="18" customHeight="1" x14ac:dyDescent="0.15">
      <c r="A5623" s="1">
        <v>5609</v>
      </c>
      <c r="B5623" s="1" t="s">
        <v>59</v>
      </c>
      <c r="C5623" s="1" t="s">
        <v>593</v>
      </c>
      <c r="D5623" s="1">
        <v>1</v>
      </c>
      <c r="E5623" s="1" t="s">
        <v>61</v>
      </c>
      <c r="F5623" s="2">
        <v>30450</v>
      </c>
      <c r="G5623" s="2" t="s">
        <v>667</v>
      </c>
      <c r="H5623" s="1" t="str">
        <f t="shared" si="185"/>
        <v>平成24年4月1日</v>
      </c>
      <c r="I5623" s="22">
        <f t="shared" si="187"/>
        <v>41000</v>
      </c>
      <c r="J5623" s="1" t="str">
        <f>"00806935"</f>
        <v>00806935</v>
      </c>
      <c r="K5623" s="1" t="str">
        <f t="shared" si="186"/>
        <v xml:space="preserve">                                        </v>
      </c>
      <c r="L5623" s="1"/>
    </row>
    <row r="5624" spans="1:12" ht="18" customHeight="1" x14ac:dyDescent="0.15">
      <c r="A5624" s="1">
        <v>5610</v>
      </c>
      <c r="B5624" s="1" t="s">
        <v>59</v>
      </c>
      <c r="C5624" s="1" t="s">
        <v>593</v>
      </c>
      <c r="D5624" s="1">
        <v>1</v>
      </c>
      <c r="E5624" s="1" t="s">
        <v>61</v>
      </c>
      <c r="F5624" s="2">
        <v>30450</v>
      </c>
      <c r="G5624" s="2" t="s">
        <v>667</v>
      </c>
      <c r="H5624" s="1" t="str">
        <f t="shared" si="185"/>
        <v>平成24年4月1日</v>
      </c>
      <c r="I5624" s="22">
        <f t="shared" si="187"/>
        <v>41000</v>
      </c>
      <c r="J5624" s="1" t="str">
        <f>"00806936"</f>
        <v>00806936</v>
      </c>
      <c r="K5624" s="1" t="str">
        <f t="shared" si="186"/>
        <v xml:space="preserve">                                        </v>
      </c>
      <c r="L5624" s="1"/>
    </row>
    <row r="5625" spans="1:12" ht="18" customHeight="1" x14ac:dyDescent="0.15">
      <c r="A5625" s="1">
        <v>5611</v>
      </c>
      <c r="B5625" s="1" t="s">
        <v>59</v>
      </c>
      <c r="C5625" s="1" t="s">
        <v>593</v>
      </c>
      <c r="D5625" s="1">
        <v>1</v>
      </c>
      <c r="E5625" s="1" t="s">
        <v>61</v>
      </c>
      <c r="F5625" s="2">
        <v>30450</v>
      </c>
      <c r="G5625" s="2" t="s">
        <v>667</v>
      </c>
      <c r="H5625" s="1" t="str">
        <f t="shared" si="185"/>
        <v>平成24年4月1日</v>
      </c>
      <c r="I5625" s="22">
        <f t="shared" si="187"/>
        <v>41000</v>
      </c>
      <c r="J5625" s="1" t="str">
        <f>"00806937"</f>
        <v>00806937</v>
      </c>
      <c r="K5625" s="1" t="str">
        <f t="shared" si="186"/>
        <v xml:space="preserve">                                        </v>
      </c>
      <c r="L5625" s="1"/>
    </row>
    <row r="5626" spans="1:12" ht="18" customHeight="1" x14ac:dyDescent="0.15">
      <c r="A5626" s="1">
        <v>5612</v>
      </c>
      <c r="B5626" s="1" t="s">
        <v>59</v>
      </c>
      <c r="C5626" s="1" t="s">
        <v>593</v>
      </c>
      <c r="D5626" s="1">
        <v>1</v>
      </c>
      <c r="E5626" s="1" t="s">
        <v>61</v>
      </c>
      <c r="F5626" s="2">
        <v>30450</v>
      </c>
      <c r="G5626" s="2" t="s">
        <v>667</v>
      </c>
      <c r="H5626" s="1" t="str">
        <f t="shared" si="185"/>
        <v>平成24年4月1日</v>
      </c>
      <c r="I5626" s="22">
        <f t="shared" si="187"/>
        <v>41000</v>
      </c>
      <c r="J5626" s="1" t="str">
        <f>"00806938"</f>
        <v>00806938</v>
      </c>
      <c r="K5626" s="1" t="str">
        <f t="shared" si="186"/>
        <v xml:space="preserve">                                        </v>
      </c>
      <c r="L5626" s="1"/>
    </row>
    <row r="5627" spans="1:12" ht="18" customHeight="1" x14ac:dyDescent="0.15">
      <c r="A5627" s="1">
        <v>5613</v>
      </c>
      <c r="B5627" s="1" t="s">
        <v>59</v>
      </c>
      <c r="C5627" s="1" t="s">
        <v>593</v>
      </c>
      <c r="D5627" s="1">
        <v>1</v>
      </c>
      <c r="E5627" s="1" t="s">
        <v>61</v>
      </c>
      <c r="F5627" s="2">
        <v>30450</v>
      </c>
      <c r="G5627" s="2" t="s">
        <v>667</v>
      </c>
      <c r="H5627" s="1" t="str">
        <f t="shared" si="185"/>
        <v>平成24年4月1日</v>
      </c>
      <c r="I5627" s="22">
        <f t="shared" si="187"/>
        <v>41000</v>
      </c>
      <c r="J5627" s="1" t="str">
        <f>"00806939"</f>
        <v>00806939</v>
      </c>
      <c r="K5627" s="1" t="str">
        <f t="shared" si="186"/>
        <v xml:space="preserve">                                        </v>
      </c>
      <c r="L5627" s="1"/>
    </row>
    <row r="5628" spans="1:12" ht="18" customHeight="1" x14ac:dyDescent="0.15">
      <c r="A5628" s="1">
        <v>5614</v>
      </c>
      <c r="B5628" s="1" t="s">
        <v>594</v>
      </c>
      <c r="C5628" s="1" t="s">
        <v>595</v>
      </c>
      <c r="D5628" s="1">
        <v>1</v>
      </c>
      <c r="E5628" s="1" t="s">
        <v>61</v>
      </c>
      <c r="F5628" s="2">
        <v>367500</v>
      </c>
      <c r="G5628" s="2" t="s">
        <v>675</v>
      </c>
      <c r="H5628" s="1" t="str">
        <f t="shared" si="185"/>
        <v>平成24年4月1日</v>
      </c>
      <c r="I5628" s="22">
        <f t="shared" si="187"/>
        <v>41000</v>
      </c>
      <c r="J5628" s="1" t="str">
        <f>"00806961"</f>
        <v>00806961</v>
      </c>
      <c r="K5628" s="1" t="str">
        <f t="shared" si="186"/>
        <v xml:space="preserve">                                        </v>
      </c>
      <c r="L5628" s="1"/>
    </row>
    <row r="5629" spans="1:12" ht="18" customHeight="1" x14ac:dyDescent="0.15">
      <c r="A5629" s="1">
        <v>5615</v>
      </c>
      <c r="B5629" s="1" t="s">
        <v>594</v>
      </c>
      <c r="C5629" s="1" t="s">
        <v>596</v>
      </c>
      <c r="D5629" s="1">
        <v>1</v>
      </c>
      <c r="E5629" s="1" t="s">
        <v>61</v>
      </c>
      <c r="F5629" s="2">
        <v>935130</v>
      </c>
      <c r="G5629" s="2" t="s">
        <v>675</v>
      </c>
      <c r="H5629" s="1" t="str">
        <f t="shared" si="185"/>
        <v>平成24年4月1日</v>
      </c>
      <c r="I5629" s="22">
        <f t="shared" si="187"/>
        <v>41000</v>
      </c>
      <c r="J5629" s="1" t="str">
        <f>"00806962"</f>
        <v>00806962</v>
      </c>
      <c r="K5629" s="1" t="str">
        <f t="shared" si="186"/>
        <v xml:space="preserve">                                        </v>
      </c>
      <c r="L5629" s="1"/>
    </row>
    <row r="5630" spans="1:12" ht="18" customHeight="1" x14ac:dyDescent="0.15">
      <c r="A5630" s="1">
        <v>5616</v>
      </c>
      <c r="B5630" s="1" t="s">
        <v>58</v>
      </c>
      <c r="C5630" s="1" t="s">
        <v>597</v>
      </c>
      <c r="D5630" s="1">
        <v>1</v>
      </c>
      <c r="E5630" s="1" t="s">
        <v>586</v>
      </c>
      <c r="F5630" s="2">
        <v>45150</v>
      </c>
      <c r="G5630" s="2" t="s">
        <v>667</v>
      </c>
      <c r="H5630" s="1" t="str">
        <f t="shared" si="185"/>
        <v>平成24年4月1日</v>
      </c>
      <c r="I5630" s="22">
        <f t="shared" si="187"/>
        <v>41000</v>
      </c>
      <c r="J5630" s="1" t="str">
        <f>"00806963"</f>
        <v>00806963</v>
      </c>
      <c r="K5630" s="1" t="str">
        <f t="shared" si="186"/>
        <v xml:space="preserve">                                        </v>
      </c>
      <c r="L5630" s="1"/>
    </row>
    <row r="5631" spans="1:12" ht="18" customHeight="1" x14ac:dyDescent="0.15">
      <c r="A5631" s="1">
        <v>5617</v>
      </c>
      <c r="B5631" s="1" t="s">
        <v>58</v>
      </c>
      <c r="C5631" s="1" t="s">
        <v>597</v>
      </c>
      <c r="D5631" s="1">
        <v>1</v>
      </c>
      <c r="E5631" s="1" t="s">
        <v>586</v>
      </c>
      <c r="F5631" s="2">
        <v>45150</v>
      </c>
      <c r="G5631" s="2" t="s">
        <v>667</v>
      </c>
      <c r="H5631" s="1" t="str">
        <f t="shared" si="185"/>
        <v>平成24年4月1日</v>
      </c>
      <c r="I5631" s="22">
        <f t="shared" si="187"/>
        <v>41000</v>
      </c>
      <c r="J5631" s="1" t="str">
        <f>"00806964"</f>
        <v>00806964</v>
      </c>
      <c r="K5631" s="1" t="str">
        <f t="shared" si="186"/>
        <v xml:space="preserve">                                        </v>
      </c>
      <c r="L5631" s="1"/>
    </row>
    <row r="5632" spans="1:12" ht="18" customHeight="1" x14ac:dyDescent="0.15">
      <c r="A5632" s="1">
        <v>5618</v>
      </c>
      <c r="B5632" s="1" t="s">
        <v>58</v>
      </c>
      <c r="C5632" s="1" t="s">
        <v>597</v>
      </c>
      <c r="D5632" s="1">
        <v>1</v>
      </c>
      <c r="E5632" s="1" t="s">
        <v>586</v>
      </c>
      <c r="F5632" s="2">
        <v>45150</v>
      </c>
      <c r="G5632" s="2" t="s">
        <v>667</v>
      </c>
      <c r="H5632" s="1" t="str">
        <f t="shared" si="185"/>
        <v>平成24年4月1日</v>
      </c>
      <c r="I5632" s="22">
        <f t="shared" si="187"/>
        <v>41000</v>
      </c>
      <c r="J5632" s="1" t="str">
        <f>"00806965"</f>
        <v>00806965</v>
      </c>
      <c r="K5632" s="1" t="str">
        <f t="shared" si="186"/>
        <v xml:space="preserve">                                        </v>
      </c>
      <c r="L5632" s="1"/>
    </row>
    <row r="5633" spans="1:12" ht="18" customHeight="1" x14ac:dyDescent="0.15">
      <c r="A5633" s="1">
        <v>5619</v>
      </c>
      <c r="B5633" s="1" t="s">
        <v>58</v>
      </c>
      <c r="C5633" s="1" t="s">
        <v>597</v>
      </c>
      <c r="D5633" s="1">
        <v>1</v>
      </c>
      <c r="E5633" s="1" t="s">
        <v>586</v>
      </c>
      <c r="F5633" s="2">
        <v>45150</v>
      </c>
      <c r="G5633" s="2" t="s">
        <v>667</v>
      </c>
      <c r="H5633" s="1" t="str">
        <f t="shared" si="185"/>
        <v>平成24年4月1日</v>
      </c>
      <c r="I5633" s="22">
        <f t="shared" si="187"/>
        <v>41000</v>
      </c>
      <c r="J5633" s="1" t="str">
        <f>"00806966"</f>
        <v>00806966</v>
      </c>
      <c r="K5633" s="1" t="str">
        <f t="shared" si="186"/>
        <v xml:space="preserve">                                        </v>
      </c>
      <c r="L5633" s="1"/>
    </row>
    <row r="5634" spans="1:12" ht="18" customHeight="1" x14ac:dyDescent="0.15">
      <c r="A5634" s="1">
        <v>5620</v>
      </c>
      <c r="B5634" s="1" t="s">
        <v>58</v>
      </c>
      <c r="C5634" s="1" t="s">
        <v>597</v>
      </c>
      <c r="D5634" s="1">
        <v>1</v>
      </c>
      <c r="E5634" s="1" t="s">
        <v>586</v>
      </c>
      <c r="F5634" s="2">
        <v>45150</v>
      </c>
      <c r="G5634" s="2" t="s">
        <v>667</v>
      </c>
      <c r="H5634" s="1" t="str">
        <f t="shared" si="185"/>
        <v>平成24年4月1日</v>
      </c>
      <c r="I5634" s="22">
        <f t="shared" si="187"/>
        <v>41000</v>
      </c>
      <c r="J5634" s="1" t="str">
        <f>"00806967"</f>
        <v>00806967</v>
      </c>
      <c r="K5634" s="1" t="str">
        <f t="shared" si="186"/>
        <v xml:space="preserve">                                        </v>
      </c>
      <c r="L5634" s="1"/>
    </row>
    <row r="5635" spans="1:12" ht="18" customHeight="1" x14ac:dyDescent="0.15">
      <c r="A5635" s="1">
        <v>5621</v>
      </c>
      <c r="B5635" s="1" t="s">
        <v>58</v>
      </c>
      <c r="C5635" s="1" t="s">
        <v>597</v>
      </c>
      <c r="D5635" s="1">
        <v>1</v>
      </c>
      <c r="E5635" s="1" t="s">
        <v>586</v>
      </c>
      <c r="F5635" s="2">
        <v>45150</v>
      </c>
      <c r="G5635" s="2" t="s">
        <v>667</v>
      </c>
      <c r="H5635" s="1" t="str">
        <f t="shared" si="185"/>
        <v>平成24年4月1日</v>
      </c>
      <c r="I5635" s="22">
        <f t="shared" si="187"/>
        <v>41000</v>
      </c>
      <c r="J5635" s="1" t="str">
        <f>"00806968"</f>
        <v>00806968</v>
      </c>
      <c r="K5635" s="1" t="str">
        <f t="shared" si="186"/>
        <v xml:space="preserve">                                        </v>
      </c>
      <c r="L5635" s="1"/>
    </row>
    <row r="5636" spans="1:12" ht="18" customHeight="1" x14ac:dyDescent="0.15">
      <c r="A5636" s="1">
        <v>5622</v>
      </c>
      <c r="B5636" s="1" t="s">
        <v>598</v>
      </c>
      <c r="C5636" s="1" t="s">
        <v>599</v>
      </c>
      <c r="D5636" s="1">
        <v>1</v>
      </c>
      <c r="E5636" s="1" t="s">
        <v>61</v>
      </c>
      <c r="F5636" s="2">
        <v>388500</v>
      </c>
      <c r="G5636" s="2" t="s">
        <v>668</v>
      </c>
      <c r="H5636" s="1" t="str">
        <f t="shared" si="185"/>
        <v>平成24年4月1日</v>
      </c>
      <c r="I5636" s="22">
        <f t="shared" si="187"/>
        <v>41000</v>
      </c>
      <c r="J5636" s="1" t="str">
        <f>"00806969"</f>
        <v>00806969</v>
      </c>
      <c r="K5636" s="1" t="str">
        <f t="shared" si="186"/>
        <v xml:space="preserve">                                        </v>
      </c>
      <c r="L5636" s="1"/>
    </row>
    <row r="5637" spans="1:12" ht="18" customHeight="1" x14ac:dyDescent="0.15">
      <c r="A5637" s="1">
        <v>5623</v>
      </c>
      <c r="B5637" s="1" t="s">
        <v>598</v>
      </c>
      <c r="C5637" s="1" t="s">
        <v>599</v>
      </c>
      <c r="D5637" s="1">
        <v>1</v>
      </c>
      <c r="E5637" s="1" t="s">
        <v>61</v>
      </c>
      <c r="F5637" s="2">
        <v>388500</v>
      </c>
      <c r="G5637" s="2" t="s">
        <v>668</v>
      </c>
      <c r="H5637" s="1" t="str">
        <f t="shared" si="185"/>
        <v>平成24年4月1日</v>
      </c>
      <c r="I5637" s="22">
        <f t="shared" si="187"/>
        <v>41000</v>
      </c>
      <c r="J5637" s="1" t="str">
        <f>"00806970"</f>
        <v>00806970</v>
      </c>
      <c r="K5637" s="1" t="str">
        <f t="shared" si="186"/>
        <v xml:space="preserve">                                        </v>
      </c>
      <c r="L5637" s="1"/>
    </row>
    <row r="5638" spans="1:12" ht="18" customHeight="1" x14ac:dyDescent="0.15">
      <c r="A5638" s="1">
        <v>5624</v>
      </c>
      <c r="B5638" s="1" t="s">
        <v>598</v>
      </c>
      <c r="C5638" s="1" t="s">
        <v>599</v>
      </c>
      <c r="D5638" s="1">
        <v>1</v>
      </c>
      <c r="E5638" s="1" t="s">
        <v>61</v>
      </c>
      <c r="F5638" s="2">
        <v>388500</v>
      </c>
      <c r="G5638" s="2" t="s">
        <v>668</v>
      </c>
      <c r="H5638" s="1" t="str">
        <f t="shared" si="185"/>
        <v>平成24年4月1日</v>
      </c>
      <c r="I5638" s="22">
        <f t="shared" si="187"/>
        <v>41000</v>
      </c>
      <c r="J5638" s="1" t="str">
        <f>"00806971"</f>
        <v>00806971</v>
      </c>
      <c r="K5638" s="1" t="str">
        <f t="shared" si="186"/>
        <v xml:space="preserve">                                        </v>
      </c>
      <c r="L5638" s="1"/>
    </row>
    <row r="5639" spans="1:12" ht="18" customHeight="1" x14ac:dyDescent="0.15">
      <c r="A5639" s="1">
        <v>5625</v>
      </c>
      <c r="B5639" s="1" t="s">
        <v>598</v>
      </c>
      <c r="C5639" s="1" t="s">
        <v>599</v>
      </c>
      <c r="D5639" s="1">
        <v>1</v>
      </c>
      <c r="E5639" s="1" t="s">
        <v>61</v>
      </c>
      <c r="F5639" s="2">
        <v>388500</v>
      </c>
      <c r="G5639" s="2" t="s">
        <v>668</v>
      </c>
      <c r="H5639" s="1" t="str">
        <f t="shared" si="185"/>
        <v>平成24年4月1日</v>
      </c>
      <c r="I5639" s="22">
        <f t="shared" si="187"/>
        <v>41000</v>
      </c>
      <c r="J5639" s="1" t="str">
        <f>"00806972"</f>
        <v>00806972</v>
      </c>
      <c r="K5639" s="1" t="str">
        <f t="shared" si="186"/>
        <v xml:space="preserve">                                        </v>
      </c>
      <c r="L5639" s="1"/>
    </row>
    <row r="5640" spans="1:12" ht="18" customHeight="1" x14ac:dyDescent="0.15">
      <c r="A5640" s="1">
        <v>5626</v>
      </c>
      <c r="B5640" s="1" t="s">
        <v>598</v>
      </c>
      <c r="C5640" s="1" t="s">
        <v>599</v>
      </c>
      <c r="D5640" s="1">
        <v>1</v>
      </c>
      <c r="E5640" s="1" t="s">
        <v>61</v>
      </c>
      <c r="F5640" s="2">
        <v>388500</v>
      </c>
      <c r="G5640" s="2" t="s">
        <v>668</v>
      </c>
      <c r="H5640" s="1" t="str">
        <f t="shared" si="185"/>
        <v>平成24年4月1日</v>
      </c>
      <c r="I5640" s="22">
        <f t="shared" si="187"/>
        <v>41000</v>
      </c>
      <c r="J5640" s="1" t="str">
        <f>"00806973"</f>
        <v>00806973</v>
      </c>
      <c r="K5640" s="1" t="str">
        <f t="shared" si="186"/>
        <v xml:space="preserve">                                        </v>
      </c>
      <c r="L5640" s="1"/>
    </row>
    <row r="5641" spans="1:12" ht="18" customHeight="1" x14ac:dyDescent="0.15">
      <c r="A5641" s="1">
        <v>5627</v>
      </c>
      <c r="B5641" s="1" t="s">
        <v>62</v>
      </c>
      <c r="C5641" s="1" t="s">
        <v>600</v>
      </c>
      <c r="D5641" s="1">
        <v>1</v>
      </c>
      <c r="E5641" s="1" t="s">
        <v>61</v>
      </c>
      <c r="F5641" s="2">
        <v>153090</v>
      </c>
      <c r="G5641" s="2" t="s">
        <v>667</v>
      </c>
      <c r="H5641" s="1" t="str">
        <f t="shared" si="185"/>
        <v>平成24年4月1日</v>
      </c>
      <c r="I5641" s="22">
        <f t="shared" si="187"/>
        <v>41000</v>
      </c>
      <c r="J5641" s="1" t="str">
        <f>"00806974"</f>
        <v>00806974</v>
      </c>
      <c r="K5641" s="1" t="str">
        <f t="shared" si="186"/>
        <v xml:space="preserve">                                        </v>
      </c>
      <c r="L5641" s="1"/>
    </row>
    <row r="5642" spans="1:12" ht="18" customHeight="1" x14ac:dyDescent="0.15">
      <c r="A5642" s="1">
        <v>5628</v>
      </c>
      <c r="B5642" s="1" t="s">
        <v>53</v>
      </c>
      <c r="C5642" s="1" t="s">
        <v>601</v>
      </c>
      <c r="D5642" s="1">
        <v>1</v>
      </c>
      <c r="E5642" s="1" t="s">
        <v>586</v>
      </c>
      <c r="F5642" s="2">
        <v>44887</v>
      </c>
      <c r="G5642" s="2" t="s">
        <v>667</v>
      </c>
      <c r="H5642" s="1" t="str">
        <f t="shared" si="185"/>
        <v>平成24年4月1日</v>
      </c>
      <c r="I5642" s="22">
        <f t="shared" si="187"/>
        <v>41000</v>
      </c>
      <c r="J5642" s="1" t="str">
        <f>"00806975"</f>
        <v>00806975</v>
      </c>
      <c r="K5642" s="1" t="str">
        <f t="shared" si="186"/>
        <v xml:space="preserve">                                        </v>
      </c>
      <c r="L5642" s="1"/>
    </row>
    <row r="5643" spans="1:12" ht="18" customHeight="1" x14ac:dyDescent="0.15">
      <c r="A5643" s="1">
        <v>5629</v>
      </c>
      <c r="B5643" s="1" t="s">
        <v>63</v>
      </c>
      <c r="C5643" s="1" t="s">
        <v>602</v>
      </c>
      <c r="D5643" s="1">
        <v>1</v>
      </c>
      <c r="E5643" s="1" t="s">
        <v>61</v>
      </c>
      <c r="F5643" s="2">
        <v>31185</v>
      </c>
      <c r="G5643" s="2" t="s">
        <v>667</v>
      </c>
      <c r="H5643" s="1" t="str">
        <f t="shared" si="185"/>
        <v>平成24年4月1日</v>
      </c>
      <c r="I5643" s="22">
        <f t="shared" si="187"/>
        <v>41000</v>
      </c>
      <c r="J5643" s="1" t="str">
        <f>"00806976"</f>
        <v>00806976</v>
      </c>
      <c r="K5643" s="1" t="str">
        <f t="shared" si="186"/>
        <v xml:space="preserve">                                        </v>
      </c>
      <c r="L5643" s="1"/>
    </row>
    <row r="5644" spans="1:12" ht="18" customHeight="1" x14ac:dyDescent="0.15">
      <c r="A5644" s="1">
        <v>5630</v>
      </c>
      <c r="B5644" s="1" t="s">
        <v>456</v>
      </c>
      <c r="C5644" s="1" t="s">
        <v>603</v>
      </c>
      <c r="D5644" s="1">
        <v>1</v>
      </c>
      <c r="E5644" s="1" t="s">
        <v>586</v>
      </c>
      <c r="F5644" s="2">
        <v>266700</v>
      </c>
      <c r="G5644" s="2" t="s">
        <v>674</v>
      </c>
      <c r="H5644" s="1" t="str">
        <f t="shared" si="185"/>
        <v>平成24年4月1日</v>
      </c>
      <c r="I5644" s="22">
        <f t="shared" si="187"/>
        <v>41000</v>
      </c>
      <c r="J5644" s="1" t="str">
        <f>"00807189"</f>
        <v>00807189</v>
      </c>
      <c r="K5644" s="1" t="str">
        <f t="shared" si="186"/>
        <v xml:space="preserve">                                        </v>
      </c>
      <c r="L5644" s="1"/>
    </row>
    <row r="5645" spans="1:12" ht="18" customHeight="1" x14ac:dyDescent="0.15">
      <c r="A5645" s="1">
        <v>5631</v>
      </c>
      <c r="B5645" s="1" t="s">
        <v>604</v>
      </c>
      <c r="C5645" s="1" t="s">
        <v>605</v>
      </c>
      <c r="D5645" s="1">
        <v>1</v>
      </c>
      <c r="E5645" s="1" t="s">
        <v>586</v>
      </c>
      <c r="F5645" s="2">
        <v>54800</v>
      </c>
      <c r="G5645" s="2" t="s">
        <v>667</v>
      </c>
      <c r="H5645" s="1" t="str">
        <f t="shared" ref="H5645:H5708" si="188">"平成25年2月1日"</f>
        <v>平成25年2月1日</v>
      </c>
      <c r="I5645" s="22">
        <f t="shared" si="187"/>
        <v>41306</v>
      </c>
      <c r="J5645" s="1" t="str">
        <f>"00811606"</f>
        <v>00811606</v>
      </c>
      <c r="K5645" s="1" t="str">
        <f t="shared" si="186"/>
        <v xml:space="preserve">                                        </v>
      </c>
      <c r="L5645" s="1"/>
    </row>
    <row r="5646" spans="1:12" ht="18" customHeight="1" x14ac:dyDescent="0.15">
      <c r="A5646" s="1">
        <v>5632</v>
      </c>
      <c r="B5646" s="1" t="s">
        <v>604</v>
      </c>
      <c r="C5646" s="1" t="s">
        <v>605</v>
      </c>
      <c r="D5646" s="1">
        <v>1</v>
      </c>
      <c r="E5646" s="1" t="s">
        <v>586</v>
      </c>
      <c r="F5646" s="2">
        <v>54800</v>
      </c>
      <c r="G5646" s="2" t="s">
        <v>667</v>
      </c>
      <c r="H5646" s="1" t="str">
        <f t="shared" si="188"/>
        <v>平成25年2月1日</v>
      </c>
      <c r="I5646" s="22">
        <f t="shared" si="187"/>
        <v>41306</v>
      </c>
      <c r="J5646" s="1" t="str">
        <f>"00811607"</f>
        <v>00811607</v>
      </c>
      <c r="K5646" s="1" t="str">
        <f t="shared" si="186"/>
        <v xml:space="preserve">                                        </v>
      </c>
      <c r="L5646" s="1"/>
    </row>
    <row r="5647" spans="1:12" ht="18" customHeight="1" x14ac:dyDescent="0.15">
      <c r="A5647" s="1">
        <v>5633</v>
      </c>
      <c r="B5647" s="1" t="s">
        <v>604</v>
      </c>
      <c r="C5647" s="1" t="s">
        <v>605</v>
      </c>
      <c r="D5647" s="1">
        <v>1</v>
      </c>
      <c r="E5647" s="1" t="s">
        <v>586</v>
      </c>
      <c r="F5647" s="2">
        <v>54800</v>
      </c>
      <c r="G5647" s="2" t="s">
        <v>667</v>
      </c>
      <c r="H5647" s="1" t="str">
        <f t="shared" si="188"/>
        <v>平成25年2月1日</v>
      </c>
      <c r="I5647" s="22">
        <f t="shared" si="187"/>
        <v>41306</v>
      </c>
      <c r="J5647" s="1" t="str">
        <f>"00811608"</f>
        <v>00811608</v>
      </c>
      <c r="K5647" s="1" t="str">
        <f t="shared" si="186"/>
        <v xml:space="preserve">                                        </v>
      </c>
      <c r="L5647" s="1"/>
    </row>
    <row r="5648" spans="1:12" ht="18" customHeight="1" x14ac:dyDescent="0.15">
      <c r="A5648" s="1">
        <v>5634</v>
      </c>
      <c r="B5648" s="1" t="s">
        <v>604</v>
      </c>
      <c r="C5648" s="1" t="s">
        <v>605</v>
      </c>
      <c r="D5648" s="1">
        <v>1</v>
      </c>
      <c r="E5648" s="1" t="s">
        <v>586</v>
      </c>
      <c r="F5648" s="2">
        <v>54800</v>
      </c>
      <c r="G5648" s="2" t="s">
        <v>667</v>
      </c>
      <c r="H5648" s="1" t="str">
        <f t="shared" si="188"/>
        <v>平成25年2月1日</v>
      </c>
      <c r="I5648" s="22">
        <f t="shared" si="187"/>
        <v>41306</v>
      </c>
      <c r="J5648" s="1" t="str">
        <f>"00811609"</f>
        <v>00811609</v>
      </c>
      <c r="K5648" s="1" t="str">
        <f t="shared" si="186"/>
        <v xml:space="preserve">                                        </v>
      </c>
      <c r="L5648" s="1"/>
    </row>
    <row r="5649" spans="1:12" ht="18" customHeight="1" x14ac:dyDescent="0.15">
      <c r="A5649" s="1">
        <v>5635</v>
      </c>
      <c r="B5649" s="1" t="s">
        <v>604</v>
      </c>
      <c r="C5649" s="1" t="s">
        <v>605</v>
      </c>
      <c r="D5649" s="1">
        <v>1</v>
      </c>
      <c r="E5649" s="1" t="s">
        <v>586</v>
      </c>
      <c r="F5649" s="2">
        <v>54800</v>
      </c>
      <c r="G5649" s="2" t="s">
        <v>667</v>
      </c>
      <c r="H5649" s="1" t="str">
        <f t="shared" si="188"/>
        <v>平成25年2月1日</v>
      </c>
      <c r="I5649" s="22">
        <f t="shared" si="187"/>
        <v>41306</v>
      </c>
      <c r="J5649" s="1" t="str">
        <f>"00811610"</f>
        <v>00811610</v>
      </c>
      <c r="K5649" s="1" t="str">
        <f t="shared" si="186"/>
        <v xml:space="preserve">                                        </v>
      </c>
      <c r="L5649" s="1"/>
    </row>
    <row r="5650" spans="1:12" ht="18" customHeight="1" x14ac:dyDescent="0.15">
      <c r="A5650" s="1">
        <v>5636</v>
      </c>
      <c r="B5650" s="1" t="s">
        <v>604</v>
      </c>
      <c r="C5650" s="1" t="s">
        <v>605</v>
      </c>
      <c r="D5650" s="1">
        <v>1</v>
      </c>
      <c r="E5650" s="1" t="s">
        <v>586</v>
      </c>
      <c r="F5650" s="2">
        <v>54800</v>
      </c>
      <c r="G5650" s="2" t="s">
        <v>667</v>
      </c>
      <c r="H5650" s="1" t="str">
        <f t="shared" si="188"/>
        <v>平成25年2月1日</v>
      </c>
      <c r="I5650" s="22">
        <f t="shared" si="187"/>
        <v>41306</v>
      </c>
      <c r="J5650" s="1" t="str">
        <f>"00811611"</f>
        <v>00811611</v>
      </c>
      <c r="K5650" s="1" t="str">
        <f t="shared" si="186"/>
        <v xml:space="preserve">                                        </v>
      </c>
      <c r="L5650" s="1"/>
    </row>
    <row r="5651" spans="1:12" ht="18" customHeight="1" x14ac:dyDescent="0.15">
      <c r="A5651" s="1">
        <v>5637</v>
      </c>
      <c r="B5651" s="1" t="s">
        <v>604</v>
      </c>
      <c r="C5651" s="1" t="s">
        <v>605</v>
      </c>
      <c r="D5651" s="1">
        <v>1</v>
      </c>
      <c r="E5651" s="1" t="s">
        <v>586</v>
      </c>
      <c r="F5651" s="2">
        <v>54800</v>
      </c>
      <c r="G5651" s="2" t="s">
        <v>667</v>
      </c>
      <c r="H5651" s="1" t="str">
        <f t="shared" si="188"/>
        <v>平成25年2月1日</v>
      </c>
      <c r="I5651" s="22">
        <f t="shared" si="187"/>
        <v>41306</v>
      </c>
      <c r="J5651" s="1" t="str">
        <f>"00811612"</f>
        <v>00811612</v>
      </c>
      <c r="K5651" s="1" t="str">
        <f t="shared" si="186"/>
        <v xml:space="preserve">                                        </v>
      </c>
      <c r="L5651" s="1"/>
    </row>
    <row r="5652" spans="1:12" ht="18" customHeight="1" x14ac:dyDescent="0.15">
      <c r="A5652" s="1">
        <v>5638</v>
      </c>
      <c r="B5652" s="1" t="s">
        <v>604</v>
      </c>
      <c r="C5652" s="1" t="s">
        <v>605</v>
      </c>
      <c r="D5652" s="1">
        <v>1</v>
      </c>
      <c r="E5652" s="1" t="s">
        <v>586</v>
      </c>
      <c r="F5652" s="2">
        <v>54800</v>
      </c>
      <c r="G5652" s="2" t="s">
        <v>667</v>
      </c>
      <c r="H5652" s="1" t="str">
        <f t="shared" si="188"/>
        <v>平成25年2月1日</v>
      </c>
      <c r="I5652" s="22">
        <f t="shared" si="187"/>
        <v>41306</v>
      </c>
      <c r="J5652" s="1" t="str">
        <f>"00811613"</f>
        <v>00811613</v>
      </c>
      <c r="K5652" s="1" t="str">
        <f t="shared" si="186"/>
        <v xml:space="preserve">                                        </v>
      </c>
      <c r="L5652" s="1"/>
    </row>
    <row r="5653" spans="1:12" ht="18" customHeight="1" x14ac:dyDescent="0.15">
      <c r="A5653" s="1">
        <v>5639</v>
      </c>
      <c r="B5653" s="1" t="s">
        <v>604</v>
      </c>
      <c r="C5653" s="1" t="s">
        <v>605</v>
      </c>
      <c r="D5653" s="1">
        <v>1</v>
      </c>
      <c r="E5653" s="1" t="s">
        <v>586</v>
      </c>
      <c r="F5653" s="2">
        <v>54800</v>
      </c>
      <c r="G5653" s="2" t="s">
        <v>667</v>
      </c>
      <c r="H5653" s="1" t="str">
        <f t="shared" si="188"/>
        <v>平成25年2月1日</v>
      </c>
      <c r="I5653" s="22">
        <f t="shared" si="187"/>
        <v>41306</v>
      </c>
      <c r="J5653" s="1" t="str">
        <f>"00811614"</f>
        <v>00811614</v>
      </c>
      <c r="K5653" s="1" t="str">
        <f t="shared" si="186"/>
        <v xml:space="preserve">                                        </v>
      </c>
      <c r="L5653" s="1"/>
    </row>
    <row r="5654" spans="1:12" ht="18" customHeight="1" x14ac:dyDescent="0.15">
      <c r="A5654" s="1">
        <v>5640</v>
      </c>
      <c r="B5654" s="1" t="s">
        <v>604</v>
      </c>
      <c r="C5654" s="1" t="s">
        <v>605</v>
      </c>
      <c r="D5654" s="1">
        <v>1</v>
      </c>
      <c r="E5654" s="1" t="s">
        <v>586</v>
      </c>
      <c r="F5654" s="2">
        <v>54800</v>
      </c>
      <c r="G5654" s="2" t="s">
        <v>667</v>
      </c>
      <c r="H5654" s="1" t="str">
        <f t="shared" si="188"/>
        <v>平成25年2月1日</v>
      </c>
      <c r="I5654" s="22">
        <f t="shared" si="187"/>
        <v>41306</v>
      </c>
      <c r="J5654" s="1" t="str">
        <f>"00811615"</f>
        <v>00811615</v>
      </c>
      <c r="K5654" s="1" t="str">
        <f t="shared" si="186"/>
        <v xml:space="preserve">                                        </v>
      </c>
      <c r="L5654" s="1"/>
    </row>
    <row r="5655" spans="1:12" ht="18" customHeight="1" x14ac:dyDescent="0.15">
      <c r="A5655" s="1">
        <v>5641</v>
      </c>
      <c r="B5655" s="1" t="s">
        <v>604</v>
      </c>
      <c r="C5655" s="1" t="s">
        <v>605</v>
      </c>
      <c r="D5655" s="1">
        <v>1</v>
      </c>
      <c r="E5655" s="1" t="s">
        <v>586</v>
      </c>
      <c r="F5655" s="2">
        <v>54800</v>
      </c>
      <c r="G5655" s="2" t="s">
        <v>667</v>
      </c>
      <c r="H5655" s="1" t="str">
        <f t="shared" si="188"/>
        <v>平成25年2月1日</v>
      </c>
      <c r="I5655" s="22">
        <f t="shared" si="187"/>
        <v>41306</v>
      </c>
      <c r="J5655" s="1" t="str">
        <f>"00811616"</f>
        <v>00811616</v>
      </c>
      <c r="K5655" s="1" t="str">
        <f t="shared" ref="K5655:K5718" si="189">"                                        "</f>
        <v xml:space="preserve">                                        </v>
      </c>
      <c r="L5655" s="1"/>
    </row>
    <row r="5656" spans="1:12" ht="18" customHeight="1" x14ac:dyDescent="0.15">
      <c r="A5656" s="1">
        <v>5642</v>
      </c>
      <c r="B5656" s="1" t="s">
        <v>604</v>
      </c>
      <c r="C5656" s="1" t="s">
        <v>605</v>
      </c>
      <c r="D5656" s="1">
        <v>1</v>
      </c>
      <c r="E5656" s="1" t="s">
        <v>586</v>
      </c>
      <c r="F5656" s="2">
        <v>54800</v>
      </c>
      <c r="G5656" s="2" t="s">
        <v>667</v>
      </c>
      <c r="H5656" s="1" t="str">
        <f t="shared" si="188"/>
        <v>平成25年2月1日</v>
      </c>
      <c r="I5656" s="22">
        <f t="shared" si="187"/>
        <v>41306</v>
      </c>
      <c r="J5656" s="1" t="str">
        <f>"00811617"</f>
        <v>00811617</v>
      </c>
      <c r="K5656" s="1" t="str">
        <f t="shared" si="189"/>
        <v xml:space="preserve">                                        </v>
      </c>
      <c r="L5656" s="1"/>
    </row>
    <row r="5657" spans="1:12" ht="18" customHeight="1" x14ac:dyDescent="0.15">
      <c r="A5657" s="1">
        <v>5643</v>
      </c>
      <c r="B5657" s="1" t="s">
        <v>604</v>
      </c>
      <c r="C5657" s="1" t="s">
        <v>605</v>
      </c>
      <c r="D5657" s="1">
        <v>1</v>
      </c>
      <c r="E5657" s="1" t="s">
        <v>586</v>
      </c>
      <c r="F5657" s="2">
        <v>54800</v>
      </c>
      <c r="G5657" s="2" t="s">
        <v>667</v>
      </c>
      <c r="H5657" s="1" t="str">
        <f t="shared" si="188"/>
        <v>平成25年2月1日</v>
      </c>
      <c r="I5657" s="22">
        <f t="shared" si="187"/>
        <v>41306</v>
      </c>
      <c r="J5657" s="1" t="str">
        <f>"00811618"</f>
        <v>00811618</v>
      </c>
      <c r="K5657" s="1" t="str">
        <f t="shared" si="189"/>
        <v xml:space="preserve">                                        </v>
      </c>
      <c r="L5657" s="1"/>
    </row>
    <row r="5658" spans="1:12" ht="18" customHeight="1" x14ac:dyDescent="0.15">
      <c r="A5658" s="1">
        <v>5644</v>
      </c>
      <c r="B5658" s="1" t="s">
        <v>604</v>
      </c>
      <c r="C5658" s="1" t="s">
        <v>605</v>
      </c>
      <c r="D5658" s="1">
        <v>1</v>
      </c>
      <c r="E5658" s="1" t="s">
        <v>586</v>
      </c>
      <c r="F5658" s="2">
        <v>54800</v>
      </c>
      <c r="G5658" s="2" t="s">
        <v>667</v>
      </c>
      <c r="H5658" s="1" t="str">
        <f t="shared" si="188"/>
        <v>平成25年2月1日</v>
      </c>
      <c r="I5658" s="22">
        <f t="shared" ref="I5658:I5721" si="190">DATEVALUE(H5658)</f>
        <v>41306</v>
      </c>
      <c r="J5658" s="1" t="str">
        <f>"00811619"</f>
        <v>00811619</v>
      </c>
      <c r="K5658" s="1" t="str">
        <f t="shared" si="189"/>
        <v xml:space="preserve">                                        </v>
      </c>
      <c r="L5658" s="1"/>
    </row>
    <row r="5659" spans="1:12" ht="18" customHeight="1" x14ac:dyDescent="0.15">
      <c r="A5659" s="1">
        <v>5645</v>
      </c>
      <c r="B5659" s="1" t="s">
        <v>604</v>
      </c>
      <c r="C5659" s="1" t="s">
        <v>605</v>
      </c>
      <c r="D5659" s="1">
        <v>1</v>
      </c>
      <c r="E5659" s="1" t="s">
        <v>586</v>
      </c>
      <c r="F5659" s="2">
        <v>54800</v>
      </c>
      <c r="G5659" s="2" t="s">
        <v>667</v>
      </c>
      <c r="H5659" s="1" t="str">
        <f t="shared" si="188"/>
        <v>平成25年2月1日</v>
      </c>
      <c r="I5659" s="22">
        <f t="shared" si="190"/>
        <v>41306</v>
      </c>
      <c r="J5659" s="1" t="str">
        <f>"00811620"</f>
        <v>00811620</v>
      </c>
      <c r="K5659" s="1" t="str">
        <f t="shared" si="189"/>
        <v xml:space="preserve">                                        </v>
      </c>
      <c r="L5659" s="1"/>
    </row>
    <row r="5660" spans="1:12" ht="18" customHeight="1" x14ac:dyDescent="0.15">
      <c r="A5660" s="1">
        <v>5646</v>
      </c>
      <c r="B5660" s="1" t="s">
        <v>604</v>
      </c>
      <c r="C5660" s="1" t="s">
        <v>605</v>
      </c>
      <c r="D5660" s="1">
        <v>1</v>
      </c>
      <c r="E5660" s="1" t="s">
        <v>586</v>
      </c>
      <c r="F5660" s="2">
        <v>54800</v>
      </c>
      <c r="G5660" s="2" t="s">
        <v>667</v>
      </c>
      <c r="H5660" s="1" t="str">
        <f t="shared" si="188"/>
        <v>平成25年2月1日</v>
      </c>
      <c r="I5660" s="22">
        <f t="shared" si="190"/>
        <v>41306</v>
      </c>
      <c r="J5660" s="1" t="str">
        <f>"00811621"</f>
        <v>00811621</v>
      </c>
      <c r="K5660" s="1" t="str">
        <f t="shared" si="189"/>
        <v xml:space="preserve">                                        </v>
      </c>
      <c r="L5660" s="1"/>
    </row>
    <row r="5661" spans="1:12" ht="18" customHeight="1" x14ac:dyDescent="0.15">
      <c r="A5661" s="1">
        <v>5647</v>
      </c>
      <c r="B5661" s="1" t="s">
        <v>604</v>
      </c>
      <c r="C5661" s="1" t="s">
        <v>605</v>
      </c>
      <c r="D5661" s="1">
        <v>1</v>
      </c>
      <c r="E5661" s="1" t="s">
        <v>586</v>
      </c>
      <c r="F5661" s="2">
        <v>54800</v>
      </c>
      <c r="G5661" s="2" t="s">
        <v>667</v>
      </c>
      <c r="H5661" s="1" t="str">
        <f t="shared" si="188"/>
        <v>平成25年2月1日</v>
      </c>
      <c r="I5661" s="22">
        <f t="shared" si="190"/>
        <v>41306</v>
      </c>
      <c r="J5661" s="1" t="str">
        <f>"00811622"</f>
        <v>00811622</v>
      </c>
      <c r="K5661" s="1" t="str">
        <f t="shared" si="189"/>
        <v xml:space="preserve">                                        </v>
      </c>
      <c r="L5661" s="1"/>
    </row>
    <row r="5662" spans="1:12" ht="18" customHeight="1" x14ac:dyDescent="0.15">
      <c r="A5662" s="1">
        <v>5648</v>
      </c>
      <c r="B5662" s="1" t="s">
        <v>604</v>
      </c>
      <c r="C5662" s="1" t="s">
        <v>605</v>
      </c>
      <c r="D5662" s="1">
        <v>1</v>
      </c>
      <c r="E5662" s="1" t="s">
        <v>586</v>
      </c>
      <c r="F5662" s="2">
        <v>54800</v>
      </c>
      <c r="G5662" s="2" t="s">
        <v>667</v>
      </c>
      <c r="H5662" s="1" t="str">
        <f t="shared" si="188"/>
        <v>平成25年2月1日</v>
      </c>
      <c r="I5662" s="22">
        <f t="shared" si="190"/>
        <v>41306</v>
      </c>
      <c r="J5662" s="1" t="str">
        <f>"00811623"</f>
        <v>00811623</v>
      </c>
      <c r="K5662" s="1" t="str">
        <f t="shared" si="189"/>
        <v xml:space="preserve">                                        </v>
      </c>
      <c r="L5662" s="1"/>
    </row>
    <row r="5663" spans="1:12" ht="18" customHeight="1" x14ac:dyDescent="0.15">
      <c r="A5663" s="1">
        <v>5649</v>
      </c>
      <c r="B5663" s="1" t="s">
        <v>604</v>
      </c>
      <c r="C5663" s="1" t="s">
        <v>605</v>
      </c>
      <c r="D5663" s="1">
        <v>1</v>
      </c>
      <c r="E5663" s="1" t="s">
        <v>586</v>
      </c>
      <c r="F5663" s="2">
        <v>54800</v>
      </c>
      <c r="G5663" s="2" t="s">
        <v>667</v>
      </c>
      <c r="H5663" s="1" t="str">
        <f t="shared" si="188"/>
        <v>平成25年2月1日</v>
      </c>
      <c r="I5663" s="22">
        <f t="shared" si="190"/>
        <v>41306</v>
      </c>
      <c r="J5663" s="1" t="str">
        <f>"00811624"</f>
        <v>00811624</v>
      </c>
      <c r="K5663" s="1" t="str">
        <f t="shared" si="189"/>
        <v xml:space="preserve">                                        </v>
      </c>
      <c r="L5663" s="1"/>
    </row>
    <row r="5664" spans="1:12" ht="18" customHeight="1" x14ac:dyDescent="0.15">
      <c r="A5664" s="1">
        <v>5650</v>
      </c>
      <c r="B5664" s="1" t="s">
        <v>604</v>
      </c>
      <c r="C5664" s="1" t="s">
        <v>605</v>
      </c>
      <c r="D5664" s="1">
        <v>1</v>
      </c>
      <c r="E5664" s="1" t="s">
        <v>586</v>
      </c>
      <c r="F5664" s="2">
        <v>54800</v>
      </c>
      <c r="G5664" s="2" t="s">
        <v>667</v>
      </c>
      <c r="H5664" s="1" t="str">
        <f t="shared" si="188"/>
        <v>平成25年2月1日</v>
      </c>
      <c r="I5664" s="22">
        <f t="shared" si="190"/>
        <v>41306</v>
      </c>
      <c r="J5664" s="1" t="str">
        <f>"00811625"</f>
        <v>00811625</v>
      </c>
      <c r="K5664" s="1" t="str">
        <f t="shared" si="189"/>
        <v xml:space="preserve">                                        </v>
      </c>
      <c r="L5664" s="1"/>
    </row>
    <row r="5665" spans="1:12" ht="18" customHeight="1" x14ac:dyDescent="0.15">
      <c r="A5665" s="1">
        <v>5651</v>
      </c>
      <c r="B5665" s="1" t="s">
        <v>604</v>
      </c>
      <c r="C5665" s="1" t="s">
        <v>605</v>
      </c>
      <c r="D5665" s="1">
        <v>1</v>
      </c>
      <c r="E5665" s="1" t="s">
        <v>586</v>
      </c>
      <c r="F5665" s="2">
        <v>54800</v>
      </c>
      <c r="G5665" s="2" t="s">
        <v>667</v>
      </c>
      <c r="H5665" s="1" t="str">
        <f t="shared" si="188"/>
        <v>平成25年2月1日</v>
      </c>
      <c r="I5665" s="22">
        <f t="shared" si="190"/>
        <v>41306</v>
      </c>
      <c r="J5665" s="1" t="str">
        <f>"00811626"</f>
        <v>00811626</v>
      </c>
      <c r="K5665" s="1" t="str">
        <f t="shared" si="189"/>
        <v xml:space="preserve">                                        </v>
      </c>
      <c r="L5665" s="1"/>
    </row>
    <row r="5666" spans="1:12" ht="18" customHeight="1" x14ac:dyDescent="0.15">
      <c r="A5666" s="1">
        <v>5652</v>
      </c>
      <c r="B5666" s="1" t="s">
        <v>604</v>
      </c>
      <c r="C5666" s="1" t="s">
        <v>605</v>
      </c>
      <c r="D5666" s="1">
        <v>1</v>
      </c>
      <c r="E5666" s="1" t="s">
        <v>586</v>
      </c>
      <c r="F5666" s="2">
        <v>54800</v>
      </c>
      <c r="G5666" s="2" t="s">
        <v>667</v>
      </c>
      <c r="H5666" s="1" t="str">
        <f t="shared" si="188"/>
        <v>平成25年2月1日</v>
      </c>
      <c r="I5666" s="22">
        <f t="shared" si="190"/>
        <v>41306</v>
      </c>
      <c r="J5666" s="1" t="str">
        <f>"00811627"</f>
        <v>00811627</v>
      </c>
      <c r="K5666" s="1" t="str">
        <f t="shared" si="189"/>
        <v xml:space="preserve">                                        </v>
      </c>
      <c r="L5666" s="1"/>
    </row>
    <row r="5667" spans="1:12" ht="18" customHeight="1" x14ac:dyDescent="0.15">
      <c r="A5667" s="1">
        <v>5653</v>
      </c>
      <c r="B5667" s="1" t="s">
        <v>604</v>
      </c>
      <c r="C5667" s="1" t="s">
        <v>605</v>
      </c>
      <c r="D5667" s="1">
        <v>1</v>
      </c>
      <c r="E5667" s="1" t="s">
        <v>586</v>
      </c>
      <c r="F5667" s="2">
        <v>54800</v>
      </c>
      <c r="G5667" s="2" t="s">
        <v>667</v>
      </c>
      <c r="H5667" s="1" t="str">
        <f t="shared" si="188"/>
        <v>平成25年2月1日</v>
      </c>
      <c r="I5667" s="22">
        <f t="shared" si="190"/>
        <v>41306</v>
      </c>
      <c r="J5667" s="1" t="str">
        <f>"00811628"</f>
        <v>00811628</v>
      </c>
      <c r="K5667" s="1" t="str">
        <f t="shared" si="189"/>
        <v xml:space="preserve">                                        </v>
      </c>
      <c r="L5667" s="1"/>
    </row>
    <row r="5668" spans="1:12" ht="18" customHeight="1" x14ac:dyDescent="0.15">
      <c r="A5668" s="1">
        <v>5654</v>
      </c>
      <c r="B5668" s="1" t="s">
        <v>604</v>
      </c>
      <c r="C5668" s="1" t="s">
        <v>605</v>
      </c>
      <c r="D5668" s="1">
        <v>1</v>
      </c>
      <c r="E5668" s="1" t="s">
        <v>586</v>
      </c>
      <c r="F5668" s="2">
        <v>54800</v>
      </c>
      <c r="G5668" s="2" t="s">
        <v>667</v>
      </c>
      <c r="H5668" s="1" t="str">
        <f t="shared" si="188"/>
        <v>平成25年2月1日</v>
      </c>
      <c r="I5668" s="22">
        <f t="shared" si="190"/>
        <v>41306</v>
      </c>
      <c r="J5668" s="1" t="str">
        <f>"00811629"</f>
        <v>00811629</v>
      </c>
      <c r="K5668" s="1" t="str">
        <f t="shared" si="189"/>
        <v xml:space="preserve">                                        </v>
      </c>
      <c r="L5668" s="1"/>
    </row>
    <row r="5669" spans="1:12" ht="18" customHeight="1" x14ac:dyDescent="0.15">
      <c r="A5669" s="1">
        <v>5655</v>
      </c>
      <c r="B5669" s="1" t="s">
        <v>604</v>
      </c>
      <c r="C5669" s="1" t="s">
        <v>605</v>
      </c>
      <c r="D5669" s="1">
        <v>1</v>
      </c>
      <c r="E5669" s="1" t="s">
        <v>586</v>
      </c>
      <c r="F5669" s="2">
        <v>54800</v>
      </c>
      <c r="G5669" s="2" t="s">
        <v>667</v>
      </c>
      <c r="H5669" s="1" t="str">
        <f t="shared" si="188"/>
        <v>平成25年2月1日</v>
      </c>
      <c r="I5669" s="22">
        <f t="shared" si="190"/>
        <v>41306</v>
      </c>
      <c r="J5669" s="1" t="str">
        <f>"00811630"</f>
        <v>00811630</v>
      </c>
      <c r="K5669" s="1" t="str">
        <f t="shared" si="189"/>
        <v xml:space="preserve">                                        </v>
      </c>
      <c r="L5669" s="1"/>
    </row>
    <row r="5670" spans="1:12" ht="18" customHeight="1" x14ac:dyDescent="0.15">
      <c r="A5670" s="1">
        <v>5656</v>
      </c>
      <c r="B5670" s="1" t="s">
        <v>604</v>
      </c>
      <c r="C5670" s="1" t="s">
        <v>605</v>
      </c>
      <c r="D5670" s="1">
        <v>1</v>
      </c>
      <c r="E5670" s="1" t="s">
        <v>586</v>
      </c>
      <c r="F5670" s="2">
        <v>54800</v>
      </c>
      <c r="G5670" s="2" t="s">
        <v>667</v>
      </c>
      <c r="H5670" s="1" t="str">
        <f t="shared" si="188"/>
        <v>平成25年2月1日</v>
      </c>
      <c r="I5670" s="22">
        <f t="shared" si="190"/>
        <v>41306</v>
      </c>
      <c r="J5670" s="1" t="str">
        <f>"00811631"</f>
        <v>00811631</v>
      </c>
      <c r="K5670" s="1" t="str">
        <f t="shared" si="189"/>
        <v xml:space="preserve">                                        </v>
      </c>
      <c r="L5670" s="1"/>
    </row>
    <row r="5671" spans="1:12" ht="18" customHeight="1" x14ac:dyDescent="0.15">
      <c r="A5671" s="1">
        <v>5657</v>
      </c>
      <c r="B5671" s="1" t="s">
        <v>604</v>
      </c>
      <c r="C5671" s="1" t="s">
        <v>605</v>
      </c>
      <c r="D5671" s="1">
        <v>1</v>
      </c>
      <c r="E5671" s="1" t="s">
        <v>586</v>
      </c>
      <c r="F5671" s="2">
        <v>54800</v>
      </c>
      <c r="G5671" s="2" t="s">
        <v>667</v>
      </c>
      <c r="H5671" s="1" t="str">
        <f t="shared" si="188"/>
        <v>平成25年2月1日</v>
      </c>
      <c r="I5671" s="22">
        <f t="shared" si="190"/>
        <v>41306</v>
      </c>
      <c r="J5671" s="1" t="str">
        <f>"00811632"</f>
        <v>00811632</v>
      </c>
      <c r="K5671" s="1" t="str">
        <f t="shared" si="189"/>
        <v xml:space="preserve">                                        </v>
      </c>
      <c r="L5671" s="1"/>
    </row>
    <row r="5672" spans="1:12" ht="18" customHeight="1" x14ac:dyDescent="0.15">
      <c r="A5672" s="1">
        <v>5658</v>
      </c>
      <c r="B5672" s="1" t="s">
        <v>604</v>
      </c>
      <c r="C5672" s="1" t="s">
        <v>605</v>
      </c>
      <c r="D5672" s="1">
        <v>1</v>
      </c>
      <c r="E5672" s="1" t="s">
        <v>586</v>
      </c>
      <c r="F5672" s="2">
        <v>54800</v>
      </c>
      <c r="G5672" s="2" t="s">
        <v>667</v>
      </c>
      <c r="H5672" s="1" t="str">
        <f t="shared" si="188"/>
        <v>平成25年2月1日</v>
      </c>
      <c r="I5672" s="22">
        <f t="shared" si="190"/>
        <v>41306</v>
      </c>
      <c r="J5672" s="1" t="str">
        <f>"00811633"</f>
        <v>00811633</v>
      </c>
      <c r="K5672" s="1" t="str">
        <f t="shared" si="189"/>
        <v xml:space="preserve">                                        </v>
      </c>
      <c r="L5672" s="1"/>
    </row>
    <row r="5673" spans="1:12" ht="18" customHeight="1" x14ac:dyDescent="0.15">
      <c r="A5673" s="1">
        <v>5659</v>
      </c>
      <c r="B5673" s="1" t="s">
        <v>604</v>
      </c>
      <c r="C5673" s="1" t="s">
        <v>605</v>
      </c>
      <c r="D5673" s="1">
        <v>1</v>
      </c>
      <c r="E5673" s="1" t="s">
        <v>586</v>
      </c>
      <c r="F5673" s="2">
        <v>54800</v>
      </c>
      <c r="G5673" s="2" t="s">
        <v>667</v>
      </c>
      <c r="H5673" s="1" t="str">
        <f t="shared" si="188"/>
        <v>平成25年2月1日</v>
      </c>
      <c r="I5673" s="22">
        <f t="shared" si="190"/>
        <v>41306</v>
      </c>
      <c r="J5673" s="1" t="str">
        <f>"00811634"</f>
        <v>00811634</v>
      </c>
      <c r="K5673" s="1" t="str">
        <f t="shared" si="189"/>
        <v xml:space="preserve">                                        </v>
      </c>
      <c r="L5673" s="1"/>
    </row>
    <row r="5674" spans="1:12" ht="18" customHeight="1" x14ac:dyDescent="0.15">
      <c r="A5674" s="1">
        <v>5660</v>
      </c>
      <c r="B5674" s="1" t="s">
        <v>604</v>
      </c>
      <c r="C5674" s="1" t="s">
        <v>605</v>
      </c>
      <c r="D5674" s="1">
        <v>1</v>
      </c>
      <c r="E5674" s="1" t="s">
        <v>586</v>
      </c>
      <c r="F5674" s="2">
        <v>54800</v>
      </c>
      <c r="G5674" s="2" t="s">
        <v>667</v>
      </c>
      <c r="H5674" s="1" t="str">
        <f t="shared" si="188"/>
        <v>平成25年2月1日</v>
      </c>
      <c r="I5674" s="22">
        <f t="shared" si="190"/>
        <v>41306</v>
      </c>
      <c r="J5674" s="1" t="str">
        <f>"00811635"</f>
        <v>00811635</v>
      </c>
      <c r="K5674" s="1" t="str">
        <f t="shared" si="189"/>
        <v xml:space="preserve">                                        </v>
      </c>
      <c r="L5674" s="1"/>
    </row>
    <row r="5675" spans="1:12" ht="18" customHeight="1" x14ac:dyDescent="0.15">
      <c r="A5675" s="1">
        <v>5661</v>
      </c>
      <c r="B5675" s="1" t="s">
        <v>604</v>
      </c>
      <c r="C5675" s="1" t="s">
        <v>605</v>
      </c>
      <c r="D5675" s="1">
        <v>1</v>
      </c>
      <c r="E5675" s="1" t="s">
        <v>586</v>
      </c>
      <c r="F5675" s="2">
        <v>54800</v>
      </c>
      <c r="G5675" s="2" t="s">
        <v>667</v>
      </c>
      <c r="H5675" s="1" t="str">
        <f t="shared" si="188"/>
        <v>平成25年2月1日</v>
      </c>
      <c r="I5675" s="22">
        <f t="shared" si="190"/>
        <v>41306</v>
      </c>
      <c r="J5675" s="1" t="str">
        <f>"00811636"</f>
        <v>00811636</v>
      </c>
      <c r="K5675" s="1" t="str">
        <f t="shared" si="189"/>
        <v xml:space="preserve">                                        </v>
      </c>
      <c r="L5675" s="1"/>
    </row>
    <row r="5676" spans="1:12" ht="18" customHeight="1" x14ac:dyDescent="0.15">
      <c r="A5676" s="1">
        <v>5662</v>
      </c>
      <c r="B5676" s="1" t="s">
        <v>604</v>
      </c>
      <c r="C5676" s="1" t="s">
        <v>605</v>
      </c>
      <c r="D5676" s="1">
        <v>1</v>
      </c>
      <c r="E5676" s="1" t="s">
        <v>586</v>
      </c>
      <c r="F5676" s="2">
        <v>54800</v>
      </c>
      <c r="G5676" s="2" t="s">
        <v>667</v>
      </c>
      <c r="H5676" s="1" t="str">
        <f t="shared" si="188"/>
        <v>平成25年2月1日</v>
      </c>
      <c r="I5676" s="22">
        <f t="shared" si="190"/>
        <v>41306</v>
      </c>
      <c r="J5676" s="1" t="str">
        <f>"00811637"</f>
        <v>00811637</v>
      </c>
      <c r="K5676" s="1" t="str">
        <f t="shared" si="189"/>
        <v xml:space="preserve">                                        </v>
      </c>
      <c r="L5676" s="1"/>
    </row>
    <row r="5677" spans="1:12" ht="18" customHeight="1" x14ac:dyDescent="0.15">
      <c r="A5677" s="1">
        <v>5663</v>
      </c>
      <c r="B5677" s="1" t="s">
        <v>604</v>
      </c>
      <c r="C5677" s="1" t="s">
        <v>605</v>
      </c>
      <c r="D5677" s="1">
        <v>1</v>
      </c>
      <c r="E5677" s="1" t="s">
        <v>586</v>
      </c>
      <c r="F5677" s="2">
        <v>54800</v>
      </c>
      <c r="G5677" s="2" t="s">
        <v>667</v>
      </c>
      <c r="H5677" s="1" t="str">
        <f t="shared" si="188"/>
        <v>平成25年2月1日</v>
      </c>
      <c r="I5677" s="22">
        <f t="shared" si="190"/>
        <v>41306</v>
      </c>
      <c r="J5677" s="1" t="str">
        <f>"00811638"</f>
        <v>00811638</v>
      </c>
      <c r="K5677" s="1" t="str">
        <f t="shared" si="189"/>
        <v xml:space="preserve">                                        </v>
      </c>
      <c r="L5677" s="1"/>
    </row>
    <row r="5678" spans="1:12" ht="18" customHeight="1" x14ac:dyDescent="0.15">
      <c r="A5678" s="1">
        <v>5664</v>
      </c>
      <c r="B5678" s="1" t="s">
        <v>604</v>
      </c>
      <c r="C5678" s="1" t="s">
        <v>605</v>
      </c>
      <c r="D5678" s="1">
        <v>1</v>
      </c>
      <c r="E5678" s="1" t="s">
        <v>586</v>
      </c>
      <c r="F5678" s="2">
        <v>54800</v>
      </c>
      <c r="G5678" s="2" t="s">
        <v>667</v>
      </c>
      <c r="H5678" s="1" t="str">
        <f t="shared" si="188"/>
        <v>平成25年2月1日</v>
      </c>
      <c r="I5678" s="22">
        <f t="shared" si="190"/>
        <v>41306</v>
      </c>
      <c r="J5678" s="1" t="str">
        <f>"00811639"</f>
        <v>00811639</v>
      </c>
      <c r="K5678" s="1" t="str">
        <f t="shared" si="189"/>
        <v xml:space="preserve">                                        </v>
      </c>
      <c r="L5678" s="1"/>
    </row>
    <row r="5679" spans="1:12" ht="18" customHeight="1" x14ac:dyDescent="0.15">
      <c r="A5679" s="1">
        <v>5665</v>
      </c>
      <c r="B5679" s="1" t="s">
        <v>604</v>
      </c>
      <c r="C5679" s="1" t="s">
        <v>605</v>
      </c>
      <c r="D5679" s="1">
        <v>1</v>
      </c>
      <c r="E5679" s="1" t="s">
        <v>586</v>
      </c>
      <c r="F5679" s="2">
        <v>54800</v>
      </c>
      <c r="G5679" s="2" t="s">
        <v>667</v>
      </c>
      <c r="H5679" s="1" t="str">
        <f t="shared" si="188"/>
        <v>平成25年2月1日</v>
      </c>
      <c r="I5679" s="22">
        <f t="shared" si="190"/>
        <v>41306</v>
      </c>
      <c r="J5679" s="1" t="str">
        <f>"00811640"</f>
        <v>00811640</v>
      </c>
      <c r="K5679" s="1" t="str">
        <f t="shared" si="189"/>
        <v xml:space="preserve">                                        </v>
      </c>
      <c r="L5679" s="1"/>
    </row>
    <row r="5680" spans="1:12" ht="18" customHeight="1" x14ac:dyDescent="0.15">
      <c r="A5680" s="1">
        <v>5666</v>
      </c>
      <c r="B5680" s="1" t="s">
        <v>604</v>
      </c>
      <c r="C5680" s="1" t="s">
        <v>605</v>
      </c>
      <c r="D5680" s="1">
        <v>1</v>
      </c>
      <c r="E5680" s="1" t="s">
        <v>586</v>
      </c>
      <c r="F5680" s="2">
        <v>54800</v>
      </c>
      <c r="G5680" s="2" t="s">
        <v>667</v>
      </c>
      <c r="H5680" s="1" t="str">
        <f t="shared" si="188"/>
        <v>平成25年2月1日</v>
      </c>
      <c r="I5680" s="22">
        <f t="shared" si="190"/>
        <v>41306</v>
      </c>
      <c r="J5680" s="1" t="str">
        <f>"00811641"</f>
        <v>00811641</v>
      </c>
      <c r="K5680" s="1" t="str">
        <f t="shared" si="189"/>
        <v xml:space="preserve">                                        </v>
      </c>
      <c r="L5680" s="1"/>
    </row>
    <row r="5681" spans="1:12" ht="18" customHeight="1" x14ac:dyDescent="0.15">
      <c r="A5681" s="1">
        <v>5667</v>
      </c>
      <c r="B5681" s="1" t="s">
        <v>604</v>
      </c>
      <c r="C5681" s="1" t="s">
        <v>605</v>
      </c>
      <c r="D5681" s="1">
        <v>1</v>
      </c>
      <c r="E5681" s="1" t="s">
        <v>586</v>
      </c>
      <c r="F5681" s="2">
        <v>54800</v>
      </c>
      <c r="G5681" s="2" t="s">
        <v>667</v>
      </c>
      <c r="H5681" s="1" t="str">
        <f t="shared" si="188"/>
        <v>平成25年2月1日</v>
      </c>
      <c r="I5681" s="22">
        <f t="shared" si="190"/>
        <v>41306</v>
      </c>
      <c r="J5681" s="1" t="str">
        <f>"00811642"</f>
        <v>00811642</v>
      </c>
      <c r="K5681" s="1" t="str">
        <f t="shared" si="189"/>
        <v xml:space="preserve">                                        </v>
      </c>
      <c r="L5681" s="1"/>
    </row>
    <row r="5682" spans="1:12" ht="18" customHeight="1" x14ac:dyDescent="0.15">
      <c r="A5682" s="1">
        <v>5668</v>
      </c>
      <c r="B5682" s="1" t="s">
        <v>604</v>
      </c>
      <c r="C5682" s="1" t="s">
        <v>605</v>
      </c>
      <c r="D5682" s="1">
        <v>1</v>
      </c>
      <c r="E5682" s="1" t="s">
        <v>586</v>
      </c>
      <c r="F5682" s="2">
        <v>54800</v>
      </c>
      <c r="G5682" s="2" t="s">
        <v>667</v>
      </c>
      <c r="H5682" s="1" t="str">
        <f t="shared" si="188"/>
        <v>平成25年2月1日</v>
      </c>
      <c r="I5682" s="22">
        <f t="shared" si="190"/>
        <v>41306</v>
      </c>
      <c r="J5682" s="1" t="str">
        <f>"00811643"</f>
        <v>00811643</v>
      </c>
      <c r="K5682" s="1" t="str">
        <f t="shared" si="189"/>
        <v xml:space="preserve">                                        </v>
      </c>
      <c r="L5682" s="1"/>
    </row>
    <row r="5683" spans="1:12" ht="18" customHeight="1" x14ac:dyDescent="0.15">
      <c r="A5683" s="1">
        <v>5669</v>
      </c>
      <c r="B5683" s="1" t="s">
        <v>100</v>
      </c>
      <c r="C5683" s="1" t="s">
        <v>606</v>
      </c>
      <c r="D5683" s="1">
        <v>1</v>
      </c>
      <c r="E5683" s="1" t="s">
        <v>588</v>
      </c>
      <c r="F5683" s="2">
        <v>24780</v>
      </c>
      <c r="G5683" s="2" t="s">
        <v>667</v>
      </c>
      <c r="H5683" s="1" t="str">
        <f t="shared" si="188"/>
        <v>平成25年2月1日</v>
      </c>
      <c r="I5683" s="22">
        <f t="shared" si="190"/>
        <v>41306</v>
      </c>
      <c r="J5683" s="1" t="str">
        <f>"00811659"</f>
        <v>00811659</v>
      </c>
      <c r="K5683" s="1" t="str">
        <f t="shared" si="189"/>
        <v xml:space="preserve">                                        </v>
      </c>
      <c r="L5683" s="1"/>
    </row>
    <row r="5684" spans="1:12" ht="18" customHeight="1" x14ac:dyDescent="0.15">
      <c r="A5684" s="1">
        <v>5670</v>
      </c>
      <c r="B5684" s="1" t="s">
        <v>100</v>
      </c>
      <c r="C5684" s="1" t="s">
        <v>606</v>
      </c>
      <c r="D5684" s="1">
        <v>1</v>
      </c>
      <c r="E5684" s="1" t="s">
        <v>588</v>
      </c>
      <c r="F5684" s="2">
        <v>24780</v>
      </c>
      <c r="G5684" s="2" t="s">
        <v>667</v>
      </c>
      <c r="H5684" s="1" t="str">
        <f t="shared" si="188"/>
        <v>平成25年2月1日</v>
      </c>
      <c r="I5684" s="22">
        <f t="shared" si="190"/>
        <v>41306</v>
      </c>
      <c r="J5684" s="1" t="str">
        <f>"00811660"</f>
        <v>00811660</v>
      </c>
      <c r="K5684" s="1" t="str">
        <f t="shared" si="189"/>
        <v xml:space="preserve">                                        </v>
      </c>
      <c r="L5684" s="1"/>
    </row>
    <row r="5685" spans="1:12" ht="18" customHeight="1" x14ac:dyDescent="0.15">
      <c r="A5685" s="1">
        <v>5671</v>
      </c>
      <c r="B5685" s="1" t="s">
        <v>100</v>
      </c>
      <c r="C5685" s="1" t="s">
        <v>606</v>
      </c>
      <c r="D5685" s="1">
        <v>1</v>
      </c>
      <c r="E5685" s="1" t="s">
        <v>588</v>
      </c>
      <c r="F5685" s="2">
        <v>24780</v>
      </c>
      <c r="G5685" s="2" t="s">
        <v>667</v>
      </c>
      <c r="H5685" s="1" t="str">
        <f t="shared" si="188"/>
        <v>平成25年2月1日</v>
      </c>
      <c r="I5685" s="22">
        <f t="shared" si="190"/>
        <v>41306</v>
      </c>
      <c r="J5685" s="1" t="str">
        <f>"00811661"</f>
        <v>00811661</v>
      </c>
      <c r="K5685" s="1" t="str">
        <f t="shared" si="189"/>
        <v xml:space="preserve">                                        </v>
      </c>
      <c r="L5685" s="1"/>
    </row>
    <row r="5686" spans="1:12" ht="18" customHeight="1" x14ac:dyDescent="0.15">
      <c r="A5686" s="1">
        <v>5672</v>
      </c>
      <c r="B5686" s="1" t="s">
        <v>100</v>
      </c>
      <c r="C5686" s="1" t="s">
        <v>606</v>
      </c>
      <c r="D5686" s="1">
        <v>1</v>
      </c>
      <c r="E5686" s="1" t="s">
        <v>588</v>
      </c>
      <c r="F5686" s="2">
        <v>24780</v>
      </c>
      <c r="G5686" s="2" t="s">
        <v>667</v>
      </c>
      <c r="H5686" s="1" t="str">
        <f t="shared" si="188"/>
        <v>平成25年2月1日</v>
      </c>
      <c r="I5686" s="22">
        <f t="shared" si="190"/>
        <v>41306</v>
      </c>
      <c r="J5686" s="1" t="str">
        <f>"00811662"</f>
        <v>00811662</v>
      </c>
      <c r="K5686" s="1" t="str">
        <f t="shared" si="189"/>
        <v xml:space="preserve">                                        </v>
      </c>
      <c r="L5686" s="1"/>
    </row>
    <row r="5687" spans="1:12" ht="18" customHeight="1" x14ac:dyDescent="0.15">
      <c r="A5687" s="1">
        <v>5673</v>
      </c>
      <c r="B5687" s="1" t="s">
        <v>100</v>
      </c>
      <c r="C5687" s="1" t="s">
        <v>606</v>
      </c>
      <c r="D5687" s="1">
        <v>1</v>
      </c>
      <c r="E5687" s="1" t="s">
        <v>588</v>
      </c>
      <c r="F5687" s="2">
        <v>24780</v>
      </c>
      <c r="G5687" s="2" t="s">
        <v>667</v>
      </c>
      <c r="H5687" s="1" t="str">
        <f t="shared" si="188"/>
        <v>平成25年2月1日</v>
      </c>
      <c r="I5687" s="22">
        <f t="shared" si="190"/>
        <v>41306</v>
      </c>
      <c r="J5687" s="1" t="str">
        <f>"00811663"</f>
        <v>00811663</v>
      </c>
      <c r="K5687" s="1" t="str">
        <f t="shared" si="189"/>
        <v xml:space="preserve">                                        </v>
      </c>
      <c r="L5687" s="1"/>
    </row>
    <row r="5688" spans="1:12" ht="18" customHeight="1" x14ac:dyDescent="0.15">
      <c r="A5688" s="1">
        <v>5674</v>
      </c>
      <c r="B5688" s="1" t="s">
        <v>356</v>
      </c>
      <c r="C5688" s="1" t="s">
        <v>607</v>
      </c>
      <c r="D5688" s="1">
        <v>1</v>
      </c>
      <c r="E5688" s="1" t="s">
        <v>586</v>
      </c>
      <c r="F5688" s="2">
        <v>150000</v>
      </c>
      <c r="G5688" s="2">
        <v>150000</v>
      </c>
      <c r="H5688" s="1" t="str">
        <f t="shared" si="188"/>
        <v>平成25年2月1日</v>
      </c>
      <c r="I5688" s="22">
        <f t="shared" si="190"/>
        <v>41306</v>
      </c>
      <c r="J5688" s="1" t="str">
        <f>"00811664"</f>
        <v>00811664</v>
      </c>
      <c r="K5688" s="1" t="str">
        <f t="shared" si="189"/>
        <v xml:space="preserve">                                        </v>
      </c>
      <c r="L5688" s="1"/>
    </row>
    <row r="5689" spans="1:12" ht="18" customHeight="1" x14ac:dyDescent="0.15">
      <c r="A5689" s="1">
        <v>5675</v>
      </c>
      <c r="B5689" s="1" t="s">
        <v>356</v>
      </c>
      <c r="C5689" s="1" t="s">
        <v>607</v>
      </c>
      <c r="D5689" s="1">
        <v>1</v>
      </c>
      <c r="E5689" s="1" t="s">
        <v>586</v>
      </c>
      <c r="F5689" s="2">
        <v>150000</v>
      </c>
      <c r="G5689" s="2">
        <v>150000</v>
      </c>
      <c r="H5689" s="1" t="str">
        <f t="shared" si="188"/>
        <v>平成25年2月1日</v>
      </c>
      <c r="I5689" s="22">
        <f t="shared" si="190"/>
        <v>41306</v>
      </c>
      <c r="J5689" s="1" t="str">
        <f>"00811665"</f>
        <v>00811665</v>
      </c>
      <c r="K5689" s="1" t="str">
        <f t="shared" si="189"/>
        <v xml:space="preserve">                                        </v>
      </c>
      <c r="L5689" s="1"/>
    </row>
    <row r="5690" spans="1:12" ht="18" customHeight="1" x14ac:dyDescent="0.15">
      <c r="A5690" s="1">
        <v>5676</v>
      </c>
      <c r="B5690" s="1" t="s">
        <v>356</v>
      </c>
      <c r="C5690" s="1" t="s">
        <v>607</v>
      </c>
      <c r="D5690" s="1">
        <v>1</v>
      </c>
      <c r="E5690" s="1" t="s">
        <v>586</v>
      </c>
      <c r="F5690" s="2">
        <v>150000</v>
      </c>
      <c r="G5690" s="2">
        <v>150000</v>
      </c>
      <c r="H5690" s="1" t="str">
        <f t="shared" si="188"/>
        <v>平成25年2月1日</v>
      </c>
      <c r="I5690" s="22">
        <f t="shared" si="190"/>
        <v>41306</v>
      </c>
      <c r="J5690" s="1" t="str">
        <f>"00811666"</f>
        <v>00811666</v>
      </c>
      <c r="K5690" s="1" t="str">
        <f t="shared" si="189"/>
        <v xml:space="preserve">                                        </v>
      </c>
      <c r="L5690" s="1"/>
    </row>
    <row r="5691" spans="1:12" ht="18" customHeight="1" x14ac:dyDescent="0.15">
      <c r="A5691" s="1">
        <v>5677</v>
      </c>
      <c r="B5691" s="1" t="s">
        <v>356</v>
      </c>
      <c r="C5691" s="1" t="s">
        <v>607</v>
      </c>
      <c r="D5691" s="1">
        <v>1</v>
      </c>
      <c r="E5691" s="1" t="s">
        <v>586</v>
      </c>
      <c r="F5691" s="2">
        <v>150000</v>
      </c>
      <c r="G5691" s="2">
        <v>150000</v>
      </c>
      <c r="H5691" s="1" t="str">
        <f t="shared" si="188"/>
        <v>平成25年2月1日</v>
      </c>
      <c r="I5691" s="22">
        <f t="shared" si="190"/>
        <v>41306</v>
      </c>
      <c r="J5691" s="1" t="str">
        <f>"00811667"</f>
        <v>00811667</v>
      </c>
      <c r="K5691" s="1" t="str">
        <f t="shared" si="189"/>
        <v xml:space="preserve">                                        </v>
      </c>
      <c r="L5691" s="1"/>
    </row>
    <row r="5692" spans="1:12" ht="18" customHeight="1" x14ac:dyDescent="0.15">
      <c r="A5692" s="1">
        <v>5678</v>
      </c>
      <c r="B5692" s="1" t="s">
        <v>356</v>
      </c>
      <c r="C5692" s="1" t="s">
        <v>607</v>
      </c>
      <c r="D5692" s="1">
        <v>1</v>
      </c>
      <c r="E5692" s="1" t="s">
        <v>586</v>
      </c>
      <c r="F5692" s="2">
        <v>150000</v>
      </c>
      <c r="G5692" s="2">
        <v>150000</v>
      </c>
      <c r="H5692" s="1" t="str">
        <f t="shared" si="188"/>
        <v>平成25年2月1日</v>
      </c>
      <c r="I5692" s="22">
        <f t="shared" si="190"/>
        <v>41306</v>
      </c>
      <c r="J5692" s="1" t="str">
        <f>"00811668"</f>
        <v>00811668</v>
      </c>
      <c r="K5692" s="1" t="str">
        <f t="shared" si="189"/>
        <v xml:space="preserve">                                        </v>
      </c>
      <c r="L5692" s="1"/>
    </row>
    <row r="5693" spans="1:12" ht="18" customHeight="1" x14ac:dyDescent="0.15">
      <c r="A5693" s="1">
        <v>5679</v>
      </c>
      <c r="B5693" s="1" t="s">
        <v>356</v>
      </c>
      <c r="C5693" s="1" t="s">
        <v>607</v>
      </c>
      <c r="D5693" s="1">
        <v>1</v>
      </c>
      <c r="E5693" s="1" t="s">
        <v>586</v>
      </c>
      <c r="F5693" s="2">
        <v>150000</v>
      </c>
      <c r="G5693" s="2">
        <v>150000</v>
      </c>
      <c r="H5693" s="1" t="str">
        <f t="shared" si="188"/>
        <v>平成25年2月1日</v>
      </c>
      <c r="I5693" s="22">
        <f t="shared" si="190"/>
        <v>41306</v>
      </c>
      <c r="J5693" s="1" t="str">
        <f>"00811669"</f>
        <v>00811669</v>
      </c>
      <c r="K5693" s="1" t="str">
        <f t="shared" si="189"/>
        <v xml:space="preserve">                                        </v>
      </c>
      <c r="L5693" s="1"/>
    </row>
    <row r="5694" spans="1:12" ht="18" customHeight="1" x14ac:dyDescent="0.15">
      <c r="A5694" s="1">
        <v>5680</v>
      </c>
      <c r="B5694" s="1" t="s">
        <v>356</v>
      </c>
      <c r="C5694" s="1" t="s">
        <v>607</v>
      </c>
      <c r="D5694" s="1">
        <v>1</v>
      </c>
      <c r="E5694" s="1" t="s">
        <v>586</v>
      </c>
      <c r="F5694" s="2">
        <v>150000</v>
      </c>
      <c r="G5694" s="2">
        <v>150000</v>
      </c>
      <c r="H5694" s="1" t="str">
        <f t="shared" si="188"/>
        <v>平成25年2月1日</v>
      </c>
      <c r="I5694" s="22">
        <f t="shared" si="190"/>
        <v>41306</v>
      </c>
      <c r="J5694" s="1" t="str">
        <f>"00811670"</f>
        <v>00811670</v>
      </c>
      <c r="K5694" s="1" t="str">
        <f t="shared" si="189"/>
        <v xml:space="preserve">                                        </v>
      </c>
      <c r="L5694" s="1"/>
    </row>
    <row r="5695" spans="1:12" ht="18" customHeight="1" x14ac:dyDescent="0.15">
      <c r="A5695" s="1">
        <v>5681</v>
      </c>
      <c r="B5695" s="1" t="s">
        <v>356</v>
      </c>
      <c r="C5695" s="1" t="s">
        <v>607</v>
      </c>
      <c r="D5695" s="1">
        <v>1</v>
      </c>
      <c r="E5695" s="1" t="s">
        <v>586</v>
      </c>
      <c r="F5695" s="2">
        <v>150000</v>
      </c>
      <c r="G5695" s="2">
        <v>150000</v>
      </c>
      <c r="H5695" s="1" t="str">
        <f t="shared" si="188"/>
        <v>平成25年2月1日</v>
      </c>
      <c r="I5695" s="22">
        <f t="shared" si="190"/>
        <v>41306</v>
      </c>
      <c r="J5695" s="1" t="str">
        <f>"00811671"</f>
        <v>00811671</v>
      </c>
      <c r="K5695" s="1" t="str">
        <f t="shared" si="189"/>
        <v xml:space="preserve">                                        </v>
      </c>
      <c r="L5695" s="1"/>
    </row>
    <row r="5696" spans="1:12" ht="18" customHeight="1" x14ac:dyDescent="0.15">
      <c r="A5696" s="1">
        <v>5682</v>
      </c>
      <c r="B5696" s="1" t="s">
        <v>356</v>
      </c>
      <c r="C5696" s="1" t="s">
        <v>607</v>
      </c>
      <c r="D5696" s="1">
        <v>1</v>
      </c>
      <c r="E5696" s="1" t="s">
        <v>586</v>
      </c>
      <c r="F5696" s="2">
        <v>150000</v>
      </c>
      <c r="G5696" s="2">
        <v>150000</v>
      </c>
      <c r="H5696" s="1" t="str">
        <f t="shared" si="188"/>
        <v>平成25年2月1日</v>
      </c>
      <c r="I5696" s="22">
        <f t="shared" si="190"/>
        <v>41306</v>
      </c>
      <c r="J5696" s="1" t="str">
        <f>"00811672"</f>
        <v>00811672</v>
      </c>
      <c r="K5696" s="1" t="str">
        <f t="shared" si="189"/>
        <v xml:space="preserve">                                        </v>
      </c>
      <c r="L5696" s="1"/>
    </row>
    <row r="5697" spans="1:12" ht="18" customHeight="1" x14ac:dyDescent="0.15">
      <c r="A5697" s="1">
        <v>5683</v>
      </c>
      <c r="B5697" s="1" t="s">
        <v>356</v>
      </c>
      <c r="C5697" s="1" t="s">
        <v>607</v>
      </c>
      <c r="D5697" s="1">
        <v>1</v>
      </c>
      <c r="E5697" s="1" t="s">
        <v>586</v>
      </c>
      <c r="F5697" s="2">
        <v>150000</v>
      </c>
      <c r="G5697" s="2">
        <v>150000</v>
      </c>
      <c r="H5697" s="1" t="str">
        <f t="shared" si="188"/>
        <v>平成25年2月1日</v>
      </c>
      <c r="I5697" s="22">
        <f t="shared" si="190"/>
        <v>41306</v>
      </c>
      <c r="J5697" s="1" t="str">
        <f>"00811673"</f>
        <v>00811673</v>
      </c>
      <c r="K5697" s="1" t="str">
        <f t="shared" si="189"/>
        <v xml:space="preserve">                                        </v>
      </c>
      <c r="L5697" s="1"/>
    </row>
    <row r="5698" spans="1:12" ht="18" customHeight="1" x14ac:dyDescent="0.15">
      <c r="A5698" s="1">
        <v>5684</v>
      </c>
      <c r="B5698" s="1" t="s">
        <v>356</v>
      </c>
      <c r="C5698" s="1" t="s">
        <v>607</v>
      </c>
      <c r="D5698" s="1">
        <v>1</v>
      </c>
      <c r="E5698" s="1" t="s">
        <v>586</v>
      </c>
      <c r="F5698" s="2">
        <v>150000</v>
      </c>
      <c r="G5698" s="2">
        <v>150000</v>
      </c>
      <c r="H5698" s="1" t="str">
        <f t="shared" si="188"/>
        <v>平成25年2月1日</v>
      </c>
      <c r="I5698" s="22">
        <f t="shared" si="190"/>
        <v>41306</v>
      </c>
      <c r="J5698" s="1" t="str">
        <f>"00811674"</f>
        <v>00811674</v>
      </c>
      <c r="K5698" s="1" t="str">
        <f t="shared" si="189"/>
        <v xml:space="preserve">                                        </v>
      </c>
      <c r="L5698" s="1"/>
    </row>
    <row r="5699" spans="1:12" ht="18" customHeight="1" x14ac:dyDescent="0.15">
      <c r="A5699" s="1">
        <v>5685</v>
      </c>
      <c r="B5699" s="1" t="s">
        <v>356</v>
      </c>
      <c r="C5699" s="1" t="s">
        <v>607</v>
      </c>
      <c r="D5699" s="1">
        <v>1</v>
      </c>
      <c r="E5699" s="1" t="s">
        <v>586</v>
      </c>
      <c r="F5699" s="2">
        <v>150000</v>
      </c>
      <c r="G5699" s="2">
        <v>150000</v>
      </c>
      <c r="H5699" s="1" t="str">
        <f t="shared" si="188"/>
        <v>平成25年2月1日</v>
      </c>
      <c r="I5699" s="22">
        <f t="shared" si="190"/>
        <v>41306</v>
      </c>
      <c r="J5699" s="1" t="str">
        <f>"00811675"</f>
        <v>00811675</v>
      </c>
      <c r="K5699" s="1" t="str">
        <f t="shared" si="189"/>
        <v xml:space="preserve">                                        </v>
      </c>
      <c r="L5699" s="1"/>
    </row>
    <row r="5700" spans="1:12" ht="18" customHeight="1" x14ac:dyDescent="0.15">
      <c r="A5700" s="1">
        <v>5686</v>
      </c>
      <c r="B5700" s="1" t="s">
        <v>356</v>
      </c>
      <c r="C5700" s="1" t="s">
        <v>607</v>
      </c>
      <c r="D5700" s="1">
        <v>1</v>
      </c>
      <c r="E5700" s="1" t="s">
        <v>586</v>
      </c>
      <c r="F5700" s="2">
        <v>150000</v>
      </c>
      <c r="G5700" s="2">
        <v>150000</v>
      </c>
      <c r="H5700" s="1" t="str">
        <f t="shared" si="188"/>
        <v>平成25年2月1日</v>
      </c>
      <c r="I5700" s="22">
        <f t="shared" si="190"/>
        <v>41306</v>
      </c>
      <c r="J5700" s="1" t="str">
        <f>"00811676"</f>
        <v>00811676</v>
      </c>
      <c r="K5700" s="1" t="str">
        <f t="shared" si="189"/>
        <v xml:space="preserve">                                        </v>
      </c>
      <c r="L5700" s="1"/>
    </row>
    <row r="5701" spans="1:12" ht="18" customHeight="1" x14ac:dyDescent="0.15">
      <c r="A5701" s="1">
        <v>5687</v>
      </c>
      <c r="B5701" s="1" t="s">
        <v>356</v>
      </c>
      <c r="C5701" s="1" t="s">
        <v>607</v>
      </c>
      <c r="D5701" s="1">
        <v>1</v>
      </c>
      <c r="E5701" s="1" t="s">
        <v>586</v>
      </c>
      <c r="F5701" s="2">
        <v>150000</v>
      </c>
      <c r="G5701" s="2">
        <v>150000</v>
      </c>
      <c r="H5701" s="1" t="str">
        <f t="shared" si="188"/>
        <v>平成25年2月1日</v>
      </c>
      <c r="I5701" s="22">
        <f t="shared" si="190"/>
        <v>41306</v>
      </c>
      <c r="J5701" s="1" t="str">
        <f>"00811677"</f>
        <v>00811677</v>
      </c>
      <c r="K5701" s="1" t="str">
        <f t="shared" si="189"/>
        <v xml:space="preserve">                                        </v>
      </c>
      <c r="L5701" s="1"/>
    </row>
    <row r="5702" spans="1:12" ht="18" customHeight="1" x14ac:dyDescent="0.15">
      <c r="A5702" s="1">
        <v>5688</v>
      </c>
      <c r="B5702" s="1" t="s">
        <v>356</v>
      </c>
      <c r="C5702" s="1" t="s">
        <v>607</v>
      </c>
      <c r="D5702" s="1">
        <v>1</v>
      </c>
      <c r="E5702" s="1" t="s">
        <v>586</v>
      </c>
      <c r="F5702" s="2">
        <v>150000</v>
      </c>
      <c r="G5702" s="2">
        <v>150000</v>
      </c>
      <c r="H5702" s="1" t="str">
        <f t="shared" si="188"/>
        <v>平成25年2月1日</v>
      </c>
      <c r="I5702" s="22">
        <f t="shared" si="190"/>
        <v>41306</v>
      </c>
      <c r="J5702" s="1" t="str">
        <f>"00811678"</f>
        <v>00811678</v>
      </c>
      <c r="K5702" s="1" t="str">
        <f t="shared" si="189"/>
        <v xml:space="preserve">                                        </v>
      </c>
      <c r="L5702" s="1"/>
    </row>
    <row r="5703" spans="1:12" ht="18" customHeight="1" x14ac:dyDescent="0.15">
      <c r="A5703" s="1">
        <v>5689</v>
      </c>
      <c r="B5703" s="1" t="s">
        <v>356</v>
      </c>
      <c r="C5703" s="1" t="s">
        <v>607</v>
      </c>
      <c r="D5703" s="1">
        <v>1</v>
      </c>
      <c r="E5703" s="1" t="s">
        <v>586</v>
      </c>
      <c r="F5703" s="2">
        <v>150000</v>
      </c>
      <c r="G5703" s="2">
        <v>150000</v>
      </c>
      <c r="H5703" s="1" t="str">
        <f t="shared" si="188"/>
        <v>平成25年2月1日</v>
      </c>
      <c r="I5703" s="22">
        <f t="shared" si="190"/>
        <v>41306</v>
      </c>
      <c r="J5703" s="1" t="str">
        <f>"00811679"</f>
        <v>00811679</v>
      </c>
      <c r="K5703" s="1" t="str">
        <f t="shared" si="189"/>
        <v xml:space="preserve">                                        </v>
      </c>
      <c r="L5703" s="1"/>
    </row>
    <row r="5704" spans="1:12" ht="18" customHeight="1" x14ac:dyDescent="0.15">
      <c r="A5704" s="1">
        <v>5690</v>
      </c>
      <c r="B5704" s="1" t="s">
        <v>356</v>
      </c>
      <c r="C5704" s="1" t="s">
        <v>607</v>
      </c>
      <c r="D5704" s="1">
        <v>1</v>
      </c>
      <c r="E5704" s="1" t="s">
        <v>586</v>
      </c>
      <c r="F5704" s="2">
        <v>150000</v>
      </c>
      <c r="G5704" s="2">
        <v>150000</v>
      </c>
      <c r="H5704" s="1" t="str">
        <f t="shared" si="188"/>
        <v>平成25年2月1日</v>
      </c>
      <c r="I5704" s="22">
        <f t="shared" si="190"/>
        <v>41306</v>
      </c>
      <c r="J5704" s="1" t="str">
        <f>"00811680"</f>
        <v>00811680</v>
      </c>
      <c r="K5704" s="1" t="str">
        <f t="shared" si="189"/>
        <v xml:space="preserve">                                        </v>
      </c>
      <c r="L5704" s="1"/>
    </row>
    <row r="5705" spans="1:12" ht="18" customHeight="1" x14ac:dyDescent="0.15">
      <c r="A5705" s="1">
        <v>5691</v>
      </c>
      <c r="B5705" s="1" t="s">
        <v>356</v>
      </c>
      <c r="C5705" s="1" t="s">
        <v>607</v>
      </c>
      <c r="D5705" s="1">
        <v>1</v>
      </c>
      <c r="E5705" s="1" t="s">
        <v>586</v>
      </c>
      <c r="F5705" s="2">
        <v>150000</v>
      </c>
      <c r="G5705" s="2">
        <v>150000</v>
      </c>
      <c r="H5705" s="1" t="str">
        <f t="shared" si="188"/>
        <v>平成25年2月1日</v>
      </c>
      <c r="I5705" s="22">
        <f t="shared" si="190"/>
        <v>41306</v>
      </c>
      <c r="J5705" s="1" t="str">
        <f>"00811681"</f>
        <v>00811681</v>
      </c>
      <c r="K5705" s="1" t="str">
        <f t="shared" si="189"/>
        <v xml:space="preserve">                                        </v>
      </c>
      <c r="L5705" s="1"/>
    </row>
    <row r="5706" spans="1:12" ht="18" customHeight="1" x14ac:dyDescent="0.15">
      <c r="A5706" s="1">
        <v>5692</v>
      </c>
      <c r="B5706" s="1" t="s">
        <v>356</v>
      </c>
      <c r="C5706" s="1" t="s">
        <v>607</v>
      </c>
      <c r="D5706" s="1">
        <v>1</v>
      </c>
      <c r="E5706" s="1" t="s">
        <v>586</v>
      </c>
      <c r="F5706" s="2">
        <v>150000</v>
      </c>
      <c r="G5706" s="2">
        <v>150000</v>
      </c>
      <c r="H5706" s="1" t="str">
        <f t="shared" si="188"/>
        <v>平成25年2月1日</v>
      </c>
      <c r="I5706" s="22">
        <f t="shared" si="190"/>
        <v>41306</v>
      </c>
      <c r="J5706" s="1" t="str">
        <f>"00811682"</f>
        <v>00811682</v>
      </c>
      <c r="K5706" s="1" t="str">
        <f t="shared" si="189"/>
        <v xml:space="preserve">                                        </v>
      </c>
      <c r="L5706" s="1"/>
    </row>
    <row r="5707" spans="1:12" ht="18" customHeight="1" x14ac:dyDescent="0.15">
      <c r="A5707" s="1">
        <v>5693</v>
      </c>
      <c r="B5707" s="1" t="s">
        <v>356</v>
      </c>
      <c r="C5707" s="1" t="s">
        <v>607</v>
      </c>
      <c r="D5707" s="1">
        <v>1</v>
      </c>
      <c r="E5707" s="1" t="s">
        <v>586</v>
      </c>
      <c r="F5707" s="2">
        <v>150000</v>
      </c>
      <c r="G5707" s="2">
        <v>150000</v>
      </c>
      <c r="H5707" s="1" t="str">
        <f t="shared" si="188"/>
        <v>平成25年2月1日</v>
      </c>
      <c r="I5707" s="22">
        <f t="shared" si="190"/>
        <v>41306</v>
      </c>
      <c r="J5707" s="1" t="str">
        <f>"00811683"</f>
        <v>00811683</v>
      </c>
      <c r="K5707" s="1" t="str">
        <f t="shared" si="189"/>
        <v xml:space="preserve">                                        </v>
      </c>
      <c r="L5707" s="1"/>
    </row>
    <row r="5708" spans="1:12" ht="18" customHeight="1" x14ac:dyDescent="0.15">
      <c r="A5708" s="1">
        <v>5694</v>
      </c>
      <c r="B5708" s="1" t="s">
        <v>356</v>
      </c>
      <c r="C5708" s="1" t="s">
        <v>607</v>
      </c>
      <c r="D5708" s="1">
        <v>1</v>
      </c>
      <c r="E5708" s="1" t="s">
        <v>586</v>
      </c>
      <c r="F5708" s="2">
        <v>150000</v>
      </c>
      <c r="G5708" s="2">
        <v>150000</v>
      </c>
      <c r="H5708" s="1" t="str">
        <f t="shared" si="188"/>
        <v>平成25年2月1日</v>
      </c>
      <c r="I5708" s="22">
        <f t="shared" si="190"/>
        <v>41306</v>
      </c>
      <c r="J5708" s="1" t="str">
        <f>"00811684"</f>
        <v>00811684</v>
      </c>
      <c r="K5708" s="1" t="str">
        <f t="shared" si="189"/>
        <v xml:space="preserve">                                        </v>
      </c>
      <c r="L5708" s="1"/>
    </row>
    <row r="5709" spans="1:12" ht="18" customHeight="1" x14ac:dyDescent="0.15">
      <c r="A5709" s="1">
        <v>5695</v>
      </c>
      <c r="B5709" s="1" t="s">
        <v>356</v>
      </c>
      <c r="C5709" s="1" t="s">
        <v>607</v>
      </c>
      <c r="D5709" s="1">
        <v>1</v>
      </c>
      <c r="E5709" s="1" t="s">
        <v>586</v>
      </c>
      <c r="F5709" s="2">
        <v>150000</v>
      </c>
      <c r="G5709" s="2">
        <v>150000</v>
      </c>
      <c r="H5709" s="1" t="str">
        <f t="shared" ref="H5709:H5714" si="191">"平成25年2月1日"</f>
        <v>平成25年2月1日</v>
      </c>
      <c r="I5709" s="22">
        <f t="shared" si="190"/>
        <v>41306</v>
      </c>
      <c r="J5709" s="1" t="str">
        <f>"00811685"</f>
        <v>00811685</v>
      </c>
      <c r="K5709" s="1" t="str">
        <f t="shared" si="189"/>
        <v xml:space="preserve">                                        </v>
      </c>
      <c r="L5709" s="1"/>
    </row>
    <row r="5710" spans="1:12" ht="18" customHeight="1" x14ac:dyDescent="0.15">
      <c r="A5710" s="1">
        <v>5696</v>
      </c>
      <c r="B5710" s="1" t="s">
        <v>356</v>
      </c>
      <c r="C5710" s="1" t="s">
        <v>607</v>
      </c>
      <c r="D5710" s="1">
        <v>1</v>
      </c>
      <c r="E5710" s="1" t="s">
        <v>586</v>
      </c>
      <c r="F5710" s="2">
        <v>150000</v>
      </c>
      <c r="G5710" s="2">
        <v>150000</v>
      </c>
      <c r="H5710" s="1" t="str">
        <f t="shared" si="191"/>
        <v>平成25年2月1日</v>
      </c>
      <c r="I5710" s="22">
        <f t="shared" si="190"/>
        <v>41306</v>
      </c>
      <c r="J5710" s="1" t="str">
        <f>"00811686"</f>
        <v>00811686</v>
      </c>
      <c r="K5710" s="1" t="str">
        <f t="shared" si="189"/>
        <v xml:space="preserve">                                        </v>
      </c>
      <c r="L5710" s="1"/>
    </row>
    <row r="5711" spans="1:12" ht="18" customHeight="1" x14ac:dyDescent="0.15">
      <c r="A5711" s="1">
        <v>5697</v>
      </c>
      <c r="B5711" s="1" t="s">
        <v>356</v>
      </c>
      <c r="C5711" s="1" t="s">
        <v>607</v>
      </c>
      <c r="D5711" s="1">
        <v>1</v>
      </c>
      <c r="E5711" s="1" t="s">
        <v>586</v>
      </c>
      <c r="F5711" s="2">
        <v>150000</v>
      </c>
      <c r="G5711" s="2">
        <v>150000</v>
      </c>
      <c r="H5711" s="1" t="str">
        <f t="shared" si="191"/>
        <v>平成25年2月1日</v>
      </c>
      <c r="I5711" s="22">
        <f t="shared" si="190"/>
        <v>41306</v>
      </c>
      <c r="J5711" s="1" t="str">
        <f>"00811687"</f>
        <v>00811687</v>
      </c>
      <c r="K5711" s="1" t="str">
        <f t="shared" si="189"/>
        <v xml:space="preserve">                                        </v>
      </c>
      <c r="L5711" s="1"/>
    </row>
    <row r="5712" spans="1:12" ht="18" customHeight="1" x14ac:dyDescent="0.15">
      <c r="A5712" s="1">
        <v>5698</v>
      </c>
      <c r="B5712" s="1" t="s">
        <v>356</v>
      </c>
      <c r="C5712" s="1" t="s">
        <v>607</v>
      </c>
      <c r="D5712" s="1">
        <v>1</v>
      </c>
      <c r="E5712" s="1" t="s">
        <v>586</v>
      </c>
      <c r="F5712" s="2">
        <v>150000</v>
      </c>
      <c r="G5712" s="2">
        <v>150000</v>
      </c>
      <c r="H5712" s="1" t="str">
        <f t="shared" si="191"/>
        <v>平成25年2月1日</v>
      </c>
      <c r="I5712" s="22">
        <f t="shared" si="190"/>
        <v>41306</v>
      </c>
      <c r="J5712" s="1" t="str">
        <f>"00811688"</f>
        <v>00811688</v>
      </c>
      <c r="K5712" s="1" t="str">
        <f t="shared" si="189"/>
        <v xml:space="preserve">                                        </v>
      </c>
      <c r="L5712" s="1"/>
    </row>
    <row r="5713" spans="1:12" ht="18" customHeight="1" x14ac:dyDescent="0.15">
      <c r="A5713" s="1">
        <v>5699</v>
      </c>
      <c r="B5713" s="1" t="s">
        <v>356</v>
      </c>
      <c r="C5713" s="1" t="s">
        <v>607</v>
      </c>
      <c r="D5713" s="1">
        <v>1</v>
      </c>
      <c r="E5713" s="1" t="s">
        <v>586</v>
      </c>
      <c r="F5713" s="2">
        <v>150000</v>
      </c>
      <c r="G5713" s="2">
        <v>150000</v>
      </c>
      <c r="H5713" s="1" t="str">
        <f t="shared" si="191"/>
        <v>平成25年2月1日</v>
      </c>
      <c r="I5713" s="22">
        <f t="shared" si="190"/>
        <v>41306</v>
      </c>
      <c r="J5713" s="1" t="str">
        <f>"00811689"</f>
        <v>00811689</v>
      </c>
      <c r="K5713" s="1" t="str">
        <f t="shared" si="189"/>
        <v xml:space="preserve">                                        </v>
      </c>
      <c r="L5713" s="1"/>
    </row>
    <row r="5714" spans="1:12" ht="18" customHeight="1" x14ac:dyDescent="0.15">
      <c r="A5714" s="1">
        <v>5700</v>
      </c>
      <c r="B5714" s="1" t="s">
        <v>356</v>
      </c>
      <c r="C5714" s="1" t="s">
        <v>607</v>
      </c>
      <c r="D5714" s="1">
        <v>1</v>
      </c>
      <c r="E5714" s="1" t="s">
        <v>586</v>
      </c>
      <c r="F5714" s="2">
        <v>150000</v>
      </c>
      <c r="G5714" s="2">
        <v>150000</v>
      </c>
      <c r="H5714" s="1" t="str">
        <f t="shared" si="191"/>
        <v>平成25年2月1日</v>
      </c>
      <c r="I5714" s="22">
        <f t="shared" si="190"/>
        <v>41306</v>
      </c>
      <c r="J5714" s="1" t="str">
        <f>"00811690"</f>
        <v>00811690</v>
      </c>
      <c r="K5714" s="1" t="str">
        <f t="shared" si="189"/>
        <v xml:space="preserve">                                        </v>
      </c>
      <c r="L5714" s="1"/>
    </row>
    <row r="5715" spans="1:12" ht="18" customHeight="1" x14ac:dyDescent="0.15">
      <c r="A5715" s="1">
        <v>5701</v>
      </c>
      <c r="B5715" s="1" t="s">
        <v>436</v>
      </c>
      <c r="C5715" s="1" t="s">
        <v>608</v>
      </c>
      <c r="D5715" s="1">
        <v>1</v>
      </c>
      <c r="E5715" s="1" t="s">
        <v>586</v>
      </c>
      <c r="F5715" s="2">
        <v>46830</v>
      </c>
      <c r="G5715" s="2" t="s">
        <v>667</v>
      </c>
      <c r="H5715" s="1" t="str">
        <f t="shared" ref="H5715:H5735" si="192">"平成25年4月1日"</f>
        <v>平成25年4月1日</v>
      </c>
      <c r="I5715" s="22">
        <f t="shared" si="190"/>
        <v>41365</v>
      </c>
      <c r="J5715" s="1" t="str">
        <f>"00819466"</f>
        <v>00819466</v>
      </c>
      <c r="K5715" s="1" t="str">
        <f t="shared" si="189"/>
        <v xml:space="preserve">                                        </v>
      </c>
      <c r="L5715" s="1"/>
    </row>
    <row r="5716" spans="1:12" ht="18" customHeight="1" x14ac:dyDescent="0.15">
      <c r="A5716" s="1">
        <v>5702</v>
      </c>
      <c r="B5716" s="1" t="s">
        <v>436</v>
      </c>
      <c r="C5716" s="1" t="s">
        <v>608</v>
      </c>
      <c r="D5716" s="1">
        <v>1</v>
      </c>
      <c r="E5716" s="1" t="s">
        <v>586</v>
      </c>
      <c r="F5716" s="2">
        <v>46830</v>
      </c>
      <c r="G5716" s="2" t="s">
        <v>667</v>
      </c>
      <c r="H5716" s="1" t="str">
        <f t="shared" si="192"/>
        <v>平成25年4月1日</v>
      </c>
      <c r="I5716" s="22">
        <f t="shared" si="190"/>
        <v>41365</v>
      </c>
      <c r="J5716" s="1" t="str">
        <f>"00819467"</f>
        <v>00819467</v>
      </c>
      <c r="K5716" s="1" t="str">
        <f t="shared" si="189"/>
        <v xml:space="preserve">                                        </v>
      </c>
      <c r="L5716" s="1"/>
    </row>
    <row r="5717" spans="1:12" ht="18" customHeight="1" x14ac:dyDescent="0.15">
      <c r="A5717" s="1">
        <v>5703</v>
      </c>
      <c r="B5717" s="1" t="s">
        <v>436</v>
      </c>
      <c r="C5717" s="1" t="s">
        <v>608</v>
      </c>
      <c r="D5717" s="1">
        <v>1</v>
      </c>
      <c r="E5717" s="1" t="s">
        <v>586</v>
      </c>
      <c r="F5717" s="2">
        <v>46830</v>
      </c>
      <c r="G5717" s="2" t="s">
        <v>667</v>
      </c>
      <c r="H5717" s="1" t="str">
        <f t="shared" si="192"/>
        <v>平成25年4月1日</v>
      </c>
      <c r="I5717" s="22">
        <f t="shared" si="190"/>
        <v>41365</v>
      </c>
      <c r="J5717" s="1" t="str">
        <f>"00819468"</f>
        <v>00819468</v>
      </c>
      <c r="K5717" s="1" t="str">
        <f t="shared" si="189"/>
        <v xml:space="preserve">                                        </v>
      </c>
      <c r="L5717" s="1"/>
    </row>
    <row r="5718" spans="1:12" ht="18" customHeight="1" x14ac:dyDescent="0.15">
      <c r="A5718" s="1">
        <v>5704</v>
      </c>
      <c r="B5718" s="1" t="s">
        <v>436</v>
      </c>
      <c r="C5718" s="1" t="s">
        <v>608</v>
      </c>
      <c r="D5718" s="1">
        <v>1</v>
      </c>
      <c r="E5718" s="1" t="s">
        <v>586</v>
      </c>
      <c r="F5718" s="2">
        <v>46830</v>
      </c>
      <c r="G5718" s="2" t="s">
        <v>667</v>
      </c>
      <c r="H5718" s="1" t="str">
        <f t="shared" si="192"/>
        <v>平成25年4月1日</v>
      </c>
      <c r="I5718" s="22">
        <f t="shared" si="190"/>
        <v>41365</v>
      </c>
      <c r="J5718" s="1" t="str">
        <f>"00819469"</f>
        <v>00819469</v>
      </c>
      <c r="K5718" s="1" t="str">
        <f t="shared" si="189"/>
        <v xml:space="preserve">                                        </v>
      </c>
      <c r="L5718" s="1"/>
    </row>
    <row r="5719" spans="1:12" ht="18" customHeight="1" x14ac:dyDescent="0.15">
      <c r="A5719" s="1">
        <v>5705</v>
      </c>
      <c r="B5719" s="1" t="s">
        <v>436</v>
      </c>
      <c r="C5719" s="1" t="s">
        <v>608</v>
      </c>
      <c r="D5719" s="1">
        <v>1</v>
      </c>
      <c r="E5719" s="1" t="s">
        <v>586</v>
      </c>
      <c r="F5719" s="2">
        <v>46830</v>
      </c>
      <c r="G5719" s="2" t="s">
        <v>667</v>
      </c>
      <c r="H5719" s="1" t="str">
        <f t="shared" si="192"/>
        <v>平成25年4月1日</v>
      </c>
      <c r="I5719" s="22">
        <f t="shared" si="190"/>
        <v>41365</v>
      </c>
      <c r="J5719" s="1" t="str">
        <f>"00819470"</f>
        <v>00819470</v>
      </c>
      <c r="K5719" s="1" t="str">
        <f t="shared" ref="K5719:K5741" si="193">"                                        "</f>
        <v xml:space="preserve">                                        </v>
      </c>
      <c r="L5719" s="1"/>
    </row>
    <row r="5720" spans="1:12" ht="18" customHeight="1" x14ac:dyDescent="0.15">
      <c r="A5720" s="1">
        <v>5706</v>
      </c>
      <c r="B5720" s="1" t="s">
        <v>436</v>
      </c>
      <c r="C5720" s="1" t="s">
        <v>608</v>
      </c>
      <c r="D5720" s="1">
        <v>1</v>
      </c>
      <c r="E5720" s="1" t="s">
        <v>586</v>
      </c>
      <c r="F5720" s="2">
        <v>46830</v>
      </c>
      <c r="G5720" s="2" t="s">
        <v>667</v>
      </c>
      <c r="H5720" s="1" t="str">
        <f t="shared" si="192"/>
        <v>平成25年4月1日</v>
      </c>
      <c r="I5720" s="22">
        <f t="shared" si="190"/>
        <v>41365</v>
      </c>
      <c r="J5720" s="1" t="str">
        <f>"00819471"</f>
        <v>00819471</v>
      </c>
      <c r="K5720" s="1" t="str">
        <f t="shared" si="193"/>
        <v xml:space="preserve">                                        </v>
      </c>
      <c r="L5720" s="1"/>
    </row>
    <row r="5721" spans="1:12" ht="18" customHeight="1" x14ac:dyDescent="0.15">
      <c r="A5721" s="1">
        <v>5707</v>
      </c>
      <c r="B5721" s="1" t="s">
        <v>436</v>
      </c>
      <c r="C5721" s="1" t="s">
        <v>608</v>
      </c>
      <c r="D5721" s="1">
        <v>1</v>
      </c>
      <c r="E5721" s="1" t="s">
        <v>586</v>
      </c>
      <c r="F5721" s="2">
        <v>46830</v>
      </c>
      <c r="G5721" s="2" t="s">
        <v>667</v>
      </c>
      <c r="H5721" s="1" t="str">
        <f t="shared" si="192"/>
        <v>平成25年4月1日</v>
      </c>
      <c r="I5721" s="22">
        <f t="shared" si="190"/>
        <v>41365</v>
      </c>
      <c r="J5721" s="1" t="str">
        <f>"00819472"</f>
        <v>00819472</v>
      </c>
      <c r="K5721" s="1" t="str">
        <f t="shared" si="193"/>
        <v xml:space="preserve">                                        </v>
      </c>
      <c r="L5721" s="1"/>
    </row>
    <row r="5722" spans="1:12" ht="18" customHeight="1" x14ac:dyDescent="0.15">
      <c r="A5722" s="1">
        <v>5708</v>
      </c>
      <c r="B5722" s="1" t="s">
        <v>436</v>
      </c>
      <c r="C5722" s="1" t="s">
        <v>608</v>
      </c>
      <c r="D5722" s="1">
        <v>1</v>
      </c>
      <c r="E5722" s="1" t="s">
        <v>586</v>
      </c>
      <c r="F5722" s="2">
        <v>46830</v>
      </c>
      <c r="G5722" s="2" t="s">
        <v>667</v>
      </c>
      <c r="H5722" s="1" t="str">
        <f t="shared" si="192"/>
        <v>平成25年4月1日</v>
      </c>
      <c r="I5722" s="22">
        <f t="shared" ref="I5722:I5741" si="194">DATEVALUE(H5722)</f>
        <v>41365</v>
      </c>
      <c r="J5722" s="1" t="str">
        <f>"00819473"</f>
        <v>00819473</v>
      </c>
      <c r="K5722" s="1" t="str">
        <f t="shared" si="193"/>
        <v xml:space="preserve">                                        </v>
      </c>
      <c r="L5722" s="1"/>
    </row>
    <row r="5723" spans="1:12" ht="18" customHeight="1" x14ac:dyDescent="0.15">
      <c r="A5723" s="1">
        <v>5709</v>
      </c>
      <c r="B5723" s="1" t="s">
        <v>436</v>
      </c>
      <c r="C5723" s="1" t="s">
        <v>608</v>
      </c>
      <c r="D5723" s="1">
        <v>1</v>
      </c>
      <c r="E5723" s="1" t="s">
        <v>586</v>
      </c>
      <c r="F5723" s="2">
        <v>46830</v>
      </c>
      <c r="G5723" s="2" t="s">
        <v>667</v>
      </c>
      <c r="H5723" s="1" t="str">
        <f t="shared" si="192"/>
        <v>平成25年4月1日</v>
      </c>
      <c r="I5723" s="22">
        <f t="shared" si="194"/>
        <v>41365</v>
      </c>
      <c r="J5723" s="1" t="str">
        <f>"00819474"</f>
        <v>00819474</v>
      </c>
      <c r="K5723" s="1" t="str">
        <f t="shared" si="193"/>
        <v xml:space="preserve">                                        </v>
      </c>
      <c r="L5723" s="1"/>
    </row>
    <row r="5724" spans="1:12" ht="18" customHeight="1" x14ac:dyDescent="0.15">
      <c r="A5724" s="1">
        <v>5710</v>
      </c>
      <c r="B5724" s="1" t="s">
        <v>436</v>
      </c>
      <c r="C5724" s="1" t="s">
        <v>608</v>
      </c>
      <c r="D5724" s="1">
        <v>1</v>
      </c>
      <c r="E5724" s="1" t="s">
        <v>586</v>
      </c>
      <c r="F5724" s="2">
        <v>46830</v>
      </c>
      <c r="G5724" s="2" t="s">
        <v>667</v>
      </c>
      <c r="H5724" s="1" t="str">
        <f t="shared" si="192"/>
        <v>平成25年4月1日</v>
      </c>
      <c r="I5724" s="22">
        <f t="shared" si="194"/>
        <v>41365</v>
      </c>
      <c r="J5724" s="1" t="str">
        <f>"00819475"</f>
        <v>00819475</v>
      </c>
      <c r="K5724" s="1" t="str">
        <f t="shared" si="193"/>
        <v xml:space="preserve">                                        </v>
      </c>
      <c r="L5724" s="1"/>
    </row>
    <row r="5725" spans="1:12" ht="18" customHeight="1" x14ac:dyDescent="0.15">
      <c r="A5725" s="1">
        <v>5711</v>
      </c>
      <c r="B5725" s="1" t="s">
        <v>436</v>
      </c>
      <c r="C5725" s="1" t="s">
        <v>608</v>
      </c>
      <c r="D5725" s="1">
        <v>1</v>
      </c>
      <c r="E5725" s="1" t="s">
        <v>586</v>
      </c>
      <c r="F5725" s="2">
        <v>46830</v>
      </c>
      <c r="G5725" s="2" t="s">
        <v>667</v>
      </c>
      <c r="H5725" s="1" t="str">
        <f t="shared" si="192"/>
        <v>平成25年4月1日</v>
      </c>
      <c r="I5725" s="22">
        <f t="shared" si="194"/>
        <v>41365</v>
      </c>
      <c r="J5725" s="1" t="str">
        <f>"00819476"</f>
        <v>00819476</v>
      </c>
      <c r="K5725" s="1" t="str">
        <f t="shared" si="193"/>
        <v xml:space="preserve">                                        </v>
      </c>
      <c r="L5725" s="1"/>
    </row>
    <row r="5726" spans="1:12" ht="18" customHeight="1" x14ac:dyDescent="0.15">
      <c r="A5726" s="1">
        <v>5712</v>
      </c>
      <c r="B5726" s="1" t="s">
        <v>436</v>
      </c>
      <c r="C5726" s="1" t="s">
        <v>608</v>
      </c>
      <c r="D5726" s="1">
        <v>1</v>
      </c>
      <c r="E5726" s="1" t="s">
        <v>586</v>
      </c>
      <c r="F5726" s="2">
        <v>46830</v>
      </c>
      <c r="G5726" s="2" t="s">
        <v>667</v>
      </c>
      <c r="H5726" s="1" t="str">
        <f t="shared" si="192"/>
        <v>平成25年4月1日</v>
      </c>
      <c r="I5726" s="22">
        <f t="shared" si="194"/>
        <v>41365</v>
      </c>
      <c r="J5726" s="1" t="str">
        <f>"00819477"</f>
        <v>00819477</v>
      </c>
      <c r="K5726" s="1" t="str">
        <f t="shared" si="193"/>
        <v xml:space="preserve">                                        </v>
      </c>
      <c r="L5726" s="1"/>
    </row>
    <row r="5727" spans="1:12" ht="18" customHeight="1" x14ac:dyDescent="0.15">
      <c r="A5727" s="1">
        <v>5713</v>
      </c>
      <c r="B5727" s="1" t="s">
        <v>436</v>
      </c>
      <c r="C5727" s="1" t="s">
        <v>608</v>
      </c>
      <c r="D5727" s="1">
        <v>1</v>
      </c>
      <c r="E5727" s="1" t="s">
        <v>586</v>
      </c>
      <c r="F5727" s="2">
        <v>46830</v>
      </c>
      <c r="G5727" s="2" t="s">
        <v>667</v>
      </c>
      <c r="H5727" s="1" t="str">
        <f t="shared" si="192"/>
        <v>平成25年4月1日</v>
      </c>
      <c r="I5727" s="22">
        <f t="shared" si="194"/>
        <v>41365</v>
      </c>
      <c r="J5727" s="1" t="str">
        <f>"00819478"</f>
        <v>00819478</v>
      </c>
      <c r="K5727" s="1" t="str">
        <f t="shared" si="193"/>
        <v xml:space="preserve">                                        </v>
      </c>
      <c r="L5727" s="1"/>
    </row>
    <row r="5728" spans="1:12" ht="18" customHeight="1" x14ac:dyDescent="0.15">
      <c r="A5728" s="1">
        <v>5714</v>
      </c>
      <c r="B5728" s="1" t="s">
        <v>436</v>
      </c>
      <c r="C5728" s="1" t="s">
        <v>608</v>
      </c>
      <c r="D5728" s="1">
        <v>1</v>
      </c>
      <c r="E5728" s="1" t="s">
        <v>586</v>
      </c>
      <c r="F5728" s="2">
        <v>46830</v>
      </c>
      <c r="G5728" s="2" t="s">
        <v>667</v>
      </c>
      <c r="H5728" s="1" t="str">
        <f t="shared" si="192"/>
        <v>平成25年4月1日</v>
      </c>
      <c r="I5728" s="22">
        <f t="shared" si="194"/>
        <v>41365</v>
      </c>
      <c r="J5728" s="1" t="str">
        <f>"00819479"</f>
        <v>00819479</v>
      </c>
      <c r="K5728" s="1" t="str">
        <f t="shared" si="193"/>
        <v xml:space="preserve">                                        </v>
      </c>
      <c r="L5728" s="1"/>
    </row>
    <row r="5729" spans="1:12" ht="18" customHeight="1" x14ac:dyDescent="0.15">
      <c r="A5729" s="1">
        <v>5715</v>
      </c>
      <c r="B5729" s="1" t="s">
        <v>436</v>
      </c>
      <c r="C5729" s="1" t="s">
        <v>608</v>
      </c>
      <c r="D5729" s="1">
        <v>1</v>
      </c>
      <c r="E5729" s="1" t="s">
        <v>586</v>
      </c>
      <c r="F5729" s="2">
        <v>46830</v>
      </c>
      <c r="G5729" s="2" t="s">
        <v>667</v>
      </c>
      <c r="H5729" s="1" t="str">
        <f t="shared" si="192"/>
        <v>平成25年4月1日</v>
      </c>
      <c r="I5729" s="22">
        <f t="shared" si="194"/>
        <v>41365</v>
      </c>
      <c r="J5729" s="1" t="str">
        <f>"00819480"</f>
        <v>00819480</v>
      </c>
      <c r="K5729" s="1" t="str">
        <f t="shared" si="193"/>
        <v xml:space="preserve">                                        </v>
      </c>
      <c r="L5729" s="1"/>
    </row>
    <row r="5730" spans="1:12" ht="18" customHeight="1" x14ac:dyDescent="0.15">
      <c r="A5730" s="1">
        <v>5716</v>
      </c>
      <c r="B5730" s="1" t="s">
        <v>436</v>
      </c>
      <c r="C5730" s="1" t="s">
        <v>608</v>
      </c>
      <c r="D5730" s="1">
        <v>1</v>
      </c>
      <c r="E5730" s="1" t="s">
        <v>586</v>
      </c>
      <c r="F5730" s="2">
        <v>46830</v>
      </c>
      <c r="G5730" s="2" t="s">
        <v>667</v>
      </c>
      <c r="H5730" s="1" t="str">
        <f t="shared" si="192"/>
        <v>平成25年4月1日</v>
      </c>
      <c r="I5730" s="22">
        <f t="shared" si="194"/>
        <v>41365</v>
      </c>
      <c r="J5730" s="1" t="str">
        <f>"00819481"</f>
        <v>00819481</v>
      </c>
      <c r="K5730" s="1" t="str">
        <f t="shared" si="193"/>
        <v xml:space="preserve">                                        </v>
      </c>
      <c r="L5730" s="1"/>
    </row>
    <row r="5731" spans="1:12" ht="18" customHeight="1" x14ac:dyDescent="0.15">
      <c r="A5731" s="1">
        <v>5717</v>
      </c>
      <c r="B5731" s="1" t="s">
        <v>436</v>
      </c>
      <c r="C5731" s="1" t="s">
        <v>608</v>
      </c>
      <c r="D5731" s="1">
        <v>1</v>
      </c>
      <c r="E5731" s="1" t="s">
        <v>586</v>
      </c>
      <c r="F5731" s="2">
        <v>46830</v>
      </c>
      <c r="G5731" s="2" t="s">
        <v>667</v>
      </c>
      <c r="H5731" s="1" t="str">
        <f t="shared" si="192"/>
        <v>平成25年4月1日</v>
      </c>
      <c r="I5731" s="22">
        <f t="shared" si="194"/>
        <v>41365</v>
      </c>
      <c r="J5731" s="1" t="str">
        <f>"00819482"</f>
        <v>00819482</v>
      </c>
      <c r="K5731" s="1" t="str">
        <f t="shared" si="193"/>
        <v xml:space="preserve">                                        </v>
      </c>
      <c r="L5731" s="1"/>
    </row>
    <row r="5732" spans="1:12" ht="18" customHeight="1" x14ac:dyDescent="0.15">
      <c r="A5732" s="1">
        <v>5718</v>
      </c>
      <c r="B5732" s="1" t="s">
        <v>609</v>
      </c>
      <c r="C5732" s="1" t="s">
        <v>610</v>
      </c>
      <c r="D5732" s="1">
        <v>1</v>
      </c>
      <c r="E5732" s="1" t="s">
        <v>586</v>
      </c>
      <c r="F5732" s="2">
        <v>85680</v>
      </c>
      <c r="G5732" s="2" t="s">
        <v>667</v>
      </c>
      <c r="H5732" s="1" t="str">
        <f t="shared" si="192"/>
        <v>平成25年4月1日</v>
      </c>
      <c r="I5732" s="22">
        <f t="shared" si="194"/>
        <v>41365</v>
      </c>
      <c r="J5732" s="1" t="str">
        <f>"00819483"</f>
        <v>00819483</v>
      </c>
      <c r="K5732" s="1" t="str">
        <f t="shared" si="193"/>
        <v xml:space="preserve">                                        </v>
      </c>
      <c r="L5732" s="1"/>
    </row>
    <row r="5733" spans="1:12" ht="18" customHeight="1" x14ac:dyDescent="0.15">
      <c r="A5733" s="1">
        <v>5719</v>
      </c>
      <c r="B5733" s="1" t="s">
        <v>38</v>
      </c>
      <c r="C5733" s="1" t="s">
        <v>611</v>
      </c>
      <c r="D5733" s="1">
        <v>1</v>
      </c>
      <c r="E5733" s="1" t="s">
        <v>612</v>
      </c>
      <c r="F5733" s="2">
        <v>840000</v>
      </c>
      <c r="G5733" s="2" t="s">
        <v>668</v>
      </c>
      <c r="H5733" s="1" t="str">
        <f t="shared" si="192"/>
        <v>平成25年4月1日</v>
      </c>
      <c r="I5733" s="22">
        <f t="shared" si="194"/>
        <v>41365</v>
      </c>
      <c r="J5733" s="1" t="str">
        <f>"00819484"</f>
        <v>00819484</v>
      </c>
      <c r="K5733" s="1" t="str">
        <f t="shared" si="193"/>
        <v xml:space="preserve">                                        </v>
      </c>
      <c r="L5733" s="1"/>
    </row>
    <row r="5734" spans="1:12" ht="18" customHeight="1" x14ac:dyDescent="0.15">
      <c r="A5734" s="1">
        <v>5720</v>
      </c>
      <c r="B5734" s="1" t="s">
        <v>38</v>
      </c>
      <c r="C5734" s="1" t="s">
        <v>613</v>
      </c>
      <c r="D5734" s="1">
        <v>1</v>
      </c>
      <c r="E5734" s="1" t="s">
        <v>612</v>
      </c>
      <c r="F5734" s="2">
        <v>220500</v>
      </c>
      <c r="G5734" s="2" t="s">
        <v>668</v>
      </c>
      <c r="H5734" s="1" t="str">
        <f t="shared" si="192"/>
        <v>平成25年4月1日</v>
      </c>
      <c r="I5734" s="22">
        <f t="shared" si="194"/>
        <v>41365</v>
      </c>
      <c r="J5734" s="1" t="str">
        <f>"00819485"</f>
        <v>00819485</v>
      </c>
      <c r="K5734" s="1" t="str">
        <f t="shared" si="193"/>
        <v xml:space="preserve">                                        </v>
      </c>
      <c r="L5734" s="1"/>
    </row>
    <row r="5735" spans="1:12" ht="18" customHeight="1" x14ac:dyDescent="0.15">
      <c r="A5735" s="1">
        <v>5721</v>
      </c>
      <c r="B5735" s="1" t="s">
        <v>38</v>
      </c>
      <c r="C5735" s="1" t="s">
        <v>614</v>
      </c>
      <c r="D5735" s="1">
        <v>1</v>
      </c>
      <c r="E5735" s="1" t="s">
        <v>612</v>
      </c>
      <c r="F5735" s="2">
        <v>210000</v>
      </c>
      <c r="G5735" s="2" t="s">
        <v>668</v>
      </c>
      <c r="H5735" s="1" t="str">
        <f t="shared" si="192"/>
        <v>平成25年4月1日</v>
      </c>
      <c r="I5735" s="22">
        <f t="shared" si="194"/>
        <v>41365</v>
      </c>
      <c r="J5735" s="1" t="str">
        <f>"00819486"</f>
        <v>00819486</v>
      </c>
      <c r="K5735" s="1" t="str">
        <f t="shared" si="193"/>
        <v xml:space="preserve">                                        </v>
      </c>
      <c r="L5735" s="1"/>
    </row>
    <row r="5736" spans="1:12" ht="18" customHeight="1" x14ac:dyDescent="0.15">
      <c r="A5736" s="1">
        <v>5722</v>
      </c>
      <c r="B5736" s="1" t="s">
        <v>28</v>
      </c>
      <c r="C5736" s="1" t="s">
        <v>615</v>
      </c>
      <c r="D5736" s="1">
        <v>1</v>
      </c>
      <c r="E5736" s="1" t="s">
        <v>586</v>
      </c>
      <c r="F5736" s="2">
        <v>28270</v>
      </c>
      <c r="G5736" s="2" t="s">
        <v>667</v>
      </c>
      <c r="H5736" s="1" t="str">
        <f>"平成25年7月25日"</f>
        <v>平成25年7月25日</v>
      </c>
      <c r="I5736" s="22">
        <f t="shared" si="194"/>
        <v>41480</v>
      </c>
      <c r="J5736" s="1" t="str">
        <f>"00821217"</f>
        <v>00821217</v>
      </c>
      <c r="K5736" s="1" t="str">
        <f t="shared" si="193"/>
        <v xml:space="preserve">                                        </v>
      </c>
      <c r="L5736" s="1"/>
    </row>
    <row r="5737" spans="1:12" ht="18" customHeight="1" x14ac:dyDescent="0.15">
      <c r="A5737" s="1">
        <v>5723</v>
      </c>
      <c r="B5737" s="1" t="s">
        <v>28</v>
      </c>
      <c r="C5737" s="1" t="s">
        <v>615</v>
      </c>
      <c r="D5737" s="1">
        <v>1</v>
      </c>
      <c r="E5737" s="1" t="s">
        <v>586</v>
      </c>
      <c r="F5737" s="2">
        <v>28270</v>
      </c>
      <c r="G5737" s="2" t="s">
        <v>667</v>
      </c>
      <c r="H5737" s="1" t="str">
        <f>"平成25年7月25日"</f>
        <v>平成25年7月25日</v>
      </c>
      <c r="I5737" s="22">
        <f t="shared" si="194"/>
        <v>41480</v>
      </c>
      <c r="J5737" s="1" t="str">
        <f>"00821218"</f>
        <v>00821218</v>
      </c>
      <c r="K5737" s="1" t="str">
        <f t="shared" si="193"/>
        <v xml:space="preserve">                                        </v>
      </c>
      <c r="L5737" s="1"/>
    </row>
    <row r="5738" spans="1:12" ht="18" customHeight="1" x14ac:dyDescent="0.15">
      <c r="A5738" s="1">
        <v>5724</v>
      </c>
      <c r="B5738" s="1" t="s">
        <v>28</v>
      </c>
      <c r="C5738" s="1" t="s">
        <v>615</v>
      </c>
      <c r="D5738" s="1">
        <v>1</v>
      </c>
      <c r="E5738" s="1" t="s">
        <v>586</v>
      </c>
      <c r="F5738" s="2">
        <v>28270</v>
      </c>
      <c r="G5738" s="2" t="s">
        <v>667</v>
      </c>
      <c r="H5738" s="1" t="str">
        <f>"平成25年7月25日"</f>
        <v>平成25年7月25日</v>
      </c>
      <c r="I5738" s="22">
        <f t="shared" si="194"/>
        <v>41480</v>
      </c>
      <c r="J5738" s="1" t="str">
        <f>"00821219"</f>
        <v>00821219</v>
      </c>
      <c r="K5738" s="1" t="str">
        <f t="shared" si="193"/>
        <v xml:space="preserve">                                        </v>
      </c>
      <c r="L5738" s="1"/>
    </row>
    <row r="5739" spans="1:12" ht="18" customHeight="1" x14ac:dyDescent="0.15">
      <c r="A5739" s="1">
        <v>5725</v>
      </c>
      <c r="B5739" s="1" t="s">
        <v>616</v>
      </c>
      <c r="C5739" s="1" t="s">
        <v>617</v>
      </c>
      <c r="D5739" s="1">
        <v>1</v>
      </c>
      <c r="E5739" s="1" t="s">
        <v>61</v>
      </c>
      <c r="F5739" s="2">
        <v>241500</v>
      </c>
      <c r="G5739" s="2" t="s">
        <v>667</v>
      </c>
      <c r="H5739" s="1" t="str">
        <f>"平成25年8月5日"</f>
        <v>平成25年8月5日</v>
      </c>
      <c r="I5739" s="22">
        <f t="shared" si="194"/>
        <v>41491</v>
      </c>
      <c r="J5739" s="1" t="str">
        <f>"00839877"</f>
        <v>00839877</v>
      </c>
      <c r="K5739" s="1" t="str">
        <f t="shared" si="193"/>
        <v xml:space="preserve">                                        </v>
      </c>
      <c r="L5739" s="1"/>
    </row>
    <row r="5740" spans="1:12" ht="18" customHeight="1" x14ac:dyDescent="0.15">
      <c r="A5740" s="1">
        <v>5727</v>
      </c>
      <c r="B5740" s="1" t="s">
        <v>502</v>
      </c>
      <c r="C5740" s="1" t="s">
        <v>619</v>
      </c>
      <c r="D5740" s="1">
        <v>1</v>
      </c>
      <c r="E5740" s="1" t="s">
        <v>61</v>
      </c>
      <c r="F5740" s="2">
        <v>69300</v>
      </c>
      <c r="G5740" s="2" t="s">
        <v>667</v>
      </c>
      <c r="H5740" s="1" t="str">
        <f>"平成25年12月25日"</f>
        <v>平成25年12月25日</v>
      </c>
      <c r="I5740" s="22">
        <f t="shared" si="194"/>
        <v>41633</v>
      </c>
      <c r="J5740" s="1" t="str">
        <f>"00839879"</f>
        <v>00839879</v>
      </c>
      <c r="K5740" s="1" t="str">
        <f t="shared" si="193"/>
        <v xml:space="preserve">                                        </v>
      </c>
      <c r="L5740" s="1"/>
    </row>
    <row r="5741" spans="1:12" ht="18" customHeight="1" x14ac:dyDescent="0.15">
      <c r="A5741" s="1">
        <v>5726</v>
      </c>
      <c r="B5741" s="1" t="s">
        <v>44</v>
      </c>
      <c r="C5741" s="1" t="s">
        <v>618</v>
      </c>
      <c r="D5741" s="1">
        <v>1</v>
      </c>
      <c r="E5741" s="1" t="s">
        <v>586</v>
      </c>
      <c r="F5741" s="2">
        <v>426300</v>
      </c>
      <c r="G5741" s="2" t="s">
        <v>667</v>
      </c>
      <c r="H5741" s="1" t="str">
        <f>"平成26年3月31日"</f>
        <v>平成26年3月31日</v>
      </c>
      <c r="I5741" s="22">
        <f t="shared" si="194"/>
        <v>41729</v>
      </c>
      <c r="J5741" s="1" t="str">
        <f>"00839878"</f>
        <v>00839878</v>
      </c>
      <c r="K5741" s="1" t="str">
        <f t="shared" si="193"/>
        <v xml:space="preserve">                                        </v>
      </c>
      <c r="L5741" s="1"/>
    </row>
    <row r="5742" spans="1:12" ht="18.75" customHeight="1" x14ac:dyDescent="0.15">
      <c r="A5742" s="1">
        <v>5728</v>
      </c>
      <c r="B5742" s="15" t="s">
        <v>625</v>
      </c>
      <c r="C5742" s="15" t="s">
        <v>640</v>
      </c>
      <c r="D5742" s="15">
        <v>1</v>
      </c>
      <c r="E5742" s="15" t="s">
        <v>627</v>
      </c>
      <c r="F5742" s="16">
        <v>558360</v>
      </c>
      <c r="G5742" s="2" t="s">
        <v>668</v>
      </c>
      <c r="H5742" s="17">
        <v>42072</v>
      </c>
      <c r="I5742" s="22">
        <v>42072</v>
      </c>
      <c r="J5742" s="18" t="s">
        <v>641</v>
      </c>
      <c r="K5742" s="15"/>
      <c r="L5742" s="15" t="s">
        <v>626</v>
      </c>
    </row>
    <row r="5743" spans="1:12" ht="18.75" customHeight="1" x14ac:dyDescent="0.15">
      <c r="A5743" s="1">
        <v>5729</v>
      </c>
      <c r="B5743" s="15" t="s">
        <v>625</v>
      </c>
      <c r="C5743" s="15" t="s">
        <v>628</v>
      </c>
      <c r="D5743" s="15">
        <v>1</v>
      </c>
      <c r="E5743" s="15" t="s">
        <v>627</v>
      </c>
      <c r="F5743" s="16">
        <v>478440</v>
      </c>
      <c r="G5743" s="2" t="s">
        <v>668</v>
      </c>
      <c r="H5743" s="17">
        <v>42460</v>
      </c>
      <c r="I5743" s="22">
        <v>42460</v>
      </c>
      <c r="J5743" s="18" t="s">
        <v>629</v>
      </c>
      <c r="K5743" s="15"/>
      <c r="L5743" s="15" t="s">
        <v>630</v>
      </c>
    </row>
    <row r="5744" spans="1:12" ht="18.75" customHeight="1" x14ac:dyDescent="0.15">
      <c r="A5744" s="1">
        <v>5730</v>
      </c>
      <c r="B5744" s="15" t="s">
        <v>631</v>
      </c>
      <c r="C5744" s="15" t="s">
        <v>632</v>
      </c>
      <c r="D5744" s="15">
        <v>1</v>
      </c>
      <c r="E5744" s="15" t="s">
        <v>627</v>
      </c>
      <c r="F5744" s="16">
        <v>224640</v>
      </c>
      <c r="G5744" s="2" t="s">
        <v>668</v>
      </c>
      <c r="H5744" s="17">
        <v>42460</v>
      </c>
      <c r="I5744" s="22">
        <v>42460</v>
      </c>
      <c r="J5744" s="19" t="s">
        <v>633</v>
      </c>
      <c r="K5744" s="15"/>
      <c r="L5744" s="15" t="s">
        <v>630</v>
      </c>
    </row>
    <row r="5745" spans="1:12" ht="18.75" customHeight="1" x14ac:dyDescent="0.15">
      <c r="A5745" s="1">
        <v>5731</v>
      </c>
      <c r="B5745" s="15" t="s">
        <v>625</v>
      </c>
      <c r="C5745" s="15" t="s">
        <v>642</v>
      </c>
      <c r="D5745" s="15">
        <v>1</v>
      </c>
      <c r="E5745" s="15" t="s">
        <v>627</v>
      </c>
      <c r="F5745" s="16">
        <v>523800</v>
      </c>
      <c r="G5745" s="2" t="s">
        <v>668</v>
      </c>
      <c r="H5745" s="17">
        <v>42551</v>
      </c>
      <c r="I5745" s="22">
        <v>42551</v>
      </c>
      <c r="J5745" s="19" t="s">
        <v>634</v>
      </c>
      <c r="K5745" s="15"/>
      <c r="L5745" s="15" t="s">
        <v>635</v>
      </c>
    </row>
    <row r="5746" spans="1:12" ht="18.75" customHeight="1" x14ac:dyDescent="0.15">
      <c r="A5746" s="1">
        <v>5732</v>
      </c>
      <c r="B5746" s="15" t="s">
        <v>625</v>
      </c>
      <c r="C5746" s="15" t="s">
        <v>642</v>
      </c>
      <c r="D5746" s="15">
        <v>1</v>
      </c>
      <c r="E5746" s="15" t="s">
        <v>627</v>
      </c>
      <c r="F5746" s="16">
        <v>523800</v>
      </c>
      <c r="G5746" s="2" t="s">
        <v>668</v>
      </c>
      <c r="H5746" s="17">
        <v>42551</v>
      </c>
      <c r="I5746" s="22">
        <v>42551</v>
      </c>
      <c r="J5746" s="19" t="s">
        <v>636</v>
      </c>
      <c r="K5746" s="15"/>
      <c r="L5746" s="15" t="s">
        <v>635</v>
      </c>
    </row>
    <row r="5747" spans="1:12" ht="18.75" customHeight="1" x14ac:dyDescent="0.15">
      <c r="A5747" s="1">
        <v>5733</v>
      </c>
      <c r="B5747" s="15" t="s">
        <v>637</v>
      </c>
      <c r="C5747" s="15" t="s">
        <v>643</v>
      </c>
      <c r="D5747" s="15">
        <v>1</v>
      </c>
      <c r="E5747" s="15" t="s">
        <v>627</v>
      </c>
      <c r="F5747" s="16">
        <v>244080</v>
      </c>
      <c r="G5747" s="2" t="s">
        <v>668</v>
      </c>
      <c r="H5747" s="17">
        <v>42551</v>
      </c>
      <c r="I5747" s="22">
        <v>42551</v>
      </c>
      <c r="J5747" s="19" t="s">
        <v>638</v>
      </c>
      <c r="K5747" s="15"/>
      <c r="L5747" s="15" t="s">
        <v>635</v>
      </c>
    </row>
    <row r="5748" spans="1:12" ht="18.75" customHeight="1" x14ac:dyDescent="0.15">
      <c r="A5748" s="1">
        <v>5734</v>
      </c>
      <c r="B5748" s="15" t="s">
        <v>637</v>
      </c>
      <c r="C5748" s="15" t="s">
        <v>644</v>
      </c>
      <c r="D5748" s="15">
        <v>1</v>
      </c>
      <c r="E5748" s="15" t="s">
        <v>627</v>
      </c>
      <c r="F5748" s="16">
        <v>166320</v>
      </c>
      <c r="G5748" s="2" t="s">
        <v>668</v>
      </c>
      <c r="H5748" s="17">
        <v>42551</v>
      </c>
      <c r="I5748" s="22">
        <v>42551</v>
      </c>
      <c r="J5748" s="19" t="s">
        <v>639</v>
      </c>
      <c r="K5748" s="15"/>
      <c r="L5748" s="15" t="s">
        <v>635</v>
      </c>
    </row>
    <row r="5749" spans="1:12" ht="18.75" customHeight="1" x14ac:dyDescent="0.15">
      <c r="A5749" s="1">
        <v>2018</v>
      </c>
      <c r="B5749" s="15" t="s">
        <v>677</v>
      </c>
      <c r="C5749" s="15" t="s">
        <v>678</v>
      </c>
      <c r="D5749" s="15">
        <v>1</v>
      </c>
      <c r="E5749" s="15" t="s">
        <v>679</v>
      </c>
      <c r="F5749" s="16">
        <v>3294000</v>
      </c>
      <c r="G5749" s="2" t="s">
        <v>667</v>
      </c>
      <c r="H5749" s="17">
        <v>43441</v>
      </c>
      <c r="I5749" s="22">
        <v>43441</v>
      </c>
      <c r="J5749" s="19">
        <v>959151</v>
      </c>
      <c r="K5749" s="15"/>
      <c r="L5749" s="15"/>
    </row>
    <row r="5750" spans="1:12" ht="18.75" customHeight="1" x14ac:dyDescent="0.15">
      <c r="A5750" s="1">
        <v>2020</v>
      </c>
      <c r="B5750" s="15" t="s">
        <v>680</v>
      </c>
      <c r="C5750" s="15" t="s">
        <v>681</v>
      </c>
      <c r="D5750" s="15">
        <v>1</v>
      </c>
      <c r="E5750" s="15" t="s">
        <v>679</v>
      </c>
      <c r="F5750" s="16">
        <v>207900</v>
      </c>
      <c r="G5750" s="2" t="s">
        <v>667</v>
      </c>
      <c r="H5750" s="17">
        <v>43922</v>
      </c>
      <c r="I5750" s="22">
        <v>43922</v>
      </c>
      <c r="J5750" s="19">
        <v>1043188</v>
      </c>
      <c r="K5750" s="15"/>
      <c r="L5750" s="15"/>
    </row>
    <row r="5751" spans="1:12" ht="18.75" customHeight="1" x14ac:dyDescent="0.15">
      <c r="A5751" s="1">
        <v>2020</v>
      </c>
      <c r="B5751" s="15" t="s">
        <v>680</v>
      </c>
      <c r="C5751" s="15" t="s">
        <v>681</v>
      </c>
      <c r="D5751" s="15">
        <v>1</v>
      </c>
      <c r="E5751" s="15" t="s">
        <v>679</v>
      </c>
      <c r="F5751" s="16">
        <v>207900</v>
      </c>
      <c r="G5751" s="2" t="s">
        <v>667</v>
      </c>
      <c r="H5751" s="17">
        <v>43922</v>
      </c>
      <c r="I5751" s="22">
        <v>43922</v>
      </c>
      <c r="J5751" s="19">
        <v>1043189</v>
      </c>
      <c r="K5751" s="15"/>
      <c r="L5751" s="15"/>
    </row>
    <row r="5752" spans="1:12" ht="18.75" customHeight="1" x14ac:dyDescent="0.15">
      <c r="A5752" s="1">
        <v>2020</v>
      </c>
      <c r="B5752" s="15" t="s">
        <v>680</v>
      </c>
      <c r="C5752" s="15" t="s">
        <v>681</v>
      </c>
      <c r="D5752" s="15">
        <v>1</v>
      </c>
      <c r="E5752" s="15" t="s">
        <v>679</v>
      </c>
      <c r="F5752" s="16">
        <v>207900</v>
      </c>
      <c r="G5752" s="2" t="s">
        <v>667</v>
      </c>
      <c r="H5752" s="17">
        <v>43922</v>
      </c>
      <c r="I5752" s="22">
        <v>43922</v>
      </c>
      <c r="J5752" s="19">
        <v>1043190</v>
      </c>
      <c r="K5752" s="15"/>
      <c r="L5752" s="15"/>
    </row>
    <row r="5753" spans="1:12" ht="18.75" customHeight="1" x14ac:dyDescent="0.15">
      <c r="A5753" s="1">
        <v>2020</v>
      </c>
      <c r="B5753" s="15" t="s">
        <v>680</v>
      </c>
      <c r="C5753" s="15" t="s">
        <v>681</v>
      </c>
      <c r="D5753" s="15">
        <v>1</v>
      </c>
      <c r="E5753" s="15" t="s">
        <v>679</v>
      </c>
      <c r="F5753" s="16">
        <v>207900</v>
      </c>
      <c r="G5753" s="2" t="s">
        <v>667</v>
      </c>
      <c r="H5753" s="17">
        <v>43922</v>
      </c>
      <c r="I5753" s="22">
        <v>43922</v>
      </c>
      <c r="J5753" s="19">
        <v>1043191</v>
      </c>
      <c r="K5753" s="15"/>
      <c r="L5753" s="15"/>
    </row>
    <row r="5754" spans="1:12" ht="18.75" customHeight="1" x14ac:dyDescent="0.15">
      <c r="A5754" s="1">
        <v>2020</v>
      </c>
      <c r="B5754" s="15" t="s">
        <v>680</v>
      </c>
      <c r="C5754" s="15" t="s">
        <v>681</v>
      </c>
      <c r="D5754" s="15">
        <v>1</v>
      </c>
      <c r="E5754" s="15" t="s">
        <v>679</v>
      </c>
      <c r="F5754" s="16">
        <v>207900</v>
      </c>
      <c r="G5754" s="2" t="s">
        <v>667</v>
      </c>
      <c r="H5754" s="17">
        <v>43922</v>
      </c>
      <c r="I5754" s="22">
        <v>43922</v>
      </c>
      <c r="J5754" s="19">
        <v>1043192</v>
      </c>
      <c r="K5754" s="15"/>
      <c r="L5754" s="15"/>
    </row>
    <row r="5755" spans="1:12" ht="18.75" customHeight="1" x14ac:dyDescent="0.15">
      <c r="A5755" s="1">
        <v>2020</v>
      </c>
      <c r="B5755" s="15" t="s">
        <v>680</v>
      </c>
      <c r="C5755" s="15" t="s">
        <v>681</v>
      </c>
      <c r="D5755" s="15">
        <v>1</v>
      </c>
      <c r="E5755" s="15" t="s">
        <v>679</v>
      </c>
      <c r="F5755" s="16">
        <v>207900</v>
      </c>
      <c r="G5755" s="2" t="s">
        <v>667</v>
      </c>
      <c r="H5755" s="17">
        <v>43922</v>
      </c>
      <c r="I5755" s="22">
        <v>43922</v>
      </c>
      <c r="J5755" s="19">
        <v>1043193</v>
      </c>
      <c r="K5755" s="15"/>
      <c r="L5755" s="15"/>
    </row>
    <row r="5756" spans="1:12" ht="18.75" customHeight="1" x14ac:dyDescent="0.15">
      <c r="A5756" s="1">
        <v>2020</v>
      </c>
      <c r="B5756" s="15" t="s">
        <v>680</v>
      </c>
      <c r="C5756" s="15" t="s">
        <v>681</v>
      </c>
      <c r="D5756" s="15">
        <v>1</v>
      </c>
      <c r="E5756" s="15" t="s">
        <v>679</v>
      </c>
      <c r="F5756" s="16">
        <v>207900</v>
      </c>
      <c r="G5756" s="2" t="s">
        <v>667</v>
      </c>
      <c r="H5756" s="17">
        <v>43922</v>
      </c>
      <c r="I5756" s="22">
        <v>43922</v>
      </c>
      <c r="J5756" s="19">
        <v>1043194</v>
      </c>
      <c r="K5756" s="15"/>
      <c r="L5756" s="15"/>
    </row>
    <row r="5757" spans="1:12" ht="18.75" customHeight="1" x14ac:dyDescent="0.15">
      <c r="A5757" s="1">
        <v>2020</v>
      </c>
      <c r="B5757" s="15" t="s">
        <v>682</v>
      </c>
      <c r="C5757" s="15" t="s">
        <v>683</v>
      </c>
      <c r="D5757" s="15">
        <v>1</v>
      </c>
      <c r="E5757" s="15" t="s">
        <v>684</v>
      </c>
      <c r="F5757" s="16">
        <v>49500</v>
      </c>
      <c r="G5757" s="2" t="s">
        <v>667</v>
      </c>
      <c r="H5757" s="17">
        <v>43922</v>
      </c>
      <c r="I5757" s="22">
        <v>43922</v>
      </c>
      <c r="J5757" s="19">
        <v>1043195</v>
      </c>
      <c r="K5757" s="15"/>
      <c r="L5757" s="15"/>
    </row>
    <row r="5758" spans="1:12" ht="18.75" customHeight="1" x14ac:dyDescent="0.15">
      <c r="A5758" s="1">
        <v>2020</v>
      </c>
      <c r="B5758" s="15" t="s">
        <v>682</v>
      </c>
      <c r="C5758" s="15" t="s">
        <v>683</v>
      </c>
      <c r="D5758" s="15">
        <v>1</v>
      </c>
      <c r="E5758" s="15" t="s">
        <v>684</v>
      </c>
      <c r="F5758" s="16">
        <v>49500</v>
      </c>
      <c r="G5758" s="2" t="s">
        <v>667</v>
      </c>
      <c r="H5758" s="17">
        <v>43922</v>
      </c>
      <c r="I5758" s="22">
        <v>43922</v>
      </c>
      <c r="J5758" s="19">
        <v>1043196</v>
      </c>
      <c r="K5758" s="15"/>
      <c r="L5758" s="15"/>
    </row>
    <row r="5759" spans="1:12" ht="18.75" customHeight="1" x14ac:dyDescent="0.15">
      <c r="A5759" s="1">
        <v>2020</v>
      </c>
      <c r="B5759" s="15" t="s">
        <v>682</v>
      </c>
      <c r="C5759" s="15" t="s">
        <v>683</v>
      </c>
      <c r="D5759" s="15">
        <v>1</v>
      </c>
      <c r="E5759" s="15" t="s">
        <v>684</v>
      </c>
      <c r="F5759" s="16">
        <v>49500</v>
      </c>
      <c r="G5759" s="2" t="s">
        <v>667</v>
      </c>
      <c r="H5759" s="17">
        <v>43922</v>
      </c>
      <c r="I5759" s="22">
        <v>43922</v>
      </c>
      <c r="J5759" s="19">
        <v>1043197</v>
      </c>
      <c r="K5759" s="15"/>
      <c r="L5759" s="15"/>
    </row>
    <row r="5760" spans="1:12" ht="18.75" customHeight="1" x14ac:dyDescent="0.15">
      <c r="A5760" s="1">
        <v>2020</v>
      </c>
      <c r="B5760" s="15" t="s">
        <v>682</v>
      </c>
      <c r="C5760" s="15" t="s">
        <v>683</v>
      </c>
      <c r="D5760" s="15">
        <v>1</v>
      </c>
      <c r="E5760" s="15" t="s">
        <v>684</v>
      </c>
      <c r="F5760" s="16">
        <v>49500</v>
      </c>
      <c r="G5760" s="2" t="s">
        <v>667</v>
      </c>
      <c r="H5760" s="17">
        <v>43922</v>
      </c>
      <c r="I5760" s="22">
        <v>43922</v>
      </c>
      <c r="J5760" s="19">
        <v>1043198</v>
      </c>
      <c r="K5760" s="15"/>
      <c r="L5760" s="15"/>
    </row>
    <row r="5761" spans="1:12" ht="18.75" customHeight="1" x14ac:dyDescent="0.15">
      <c r="A5761" s="1">
        <v>2020</v>
      </c>
      <c r="B5761" s="15" t="s">
        <v>682</v>
      </c>
      <c r="C5761" s="15" t="s">
        <v>683</v>
      </c>
      <c r="D5761" s="15">
        <v>1</v>
      </c>
      <c r="E5761" s="15" t="s">
        <v>684</v>
      </c>
      <c r="F5761" s="16">
        <v>49500</v>
      </c>
      <c r="G5761" s="2" t="s">
        <v>667</v>
      </c>
      <c r="H5761" s="17">
        <v>43922</v>
      </c>
      <c r="I5761" s="22">
        <v>43922</v>
      </c>
      <c r="J5761" s="19">
        <v>1043199</v>
      </c>
      <c r="K5761" s="15"/>
      <c r="L5761" s="15"/>
    </row>
    <row r="5762" spans="1:12" ht="18.75" customHeight="1" x14ac:dyDescent="0.15">
      <c r="A5762" s="1">
        <v>2020</v>
      </c>
      <c r="B5762" s="15" t="s">
        <v>682</v>
      </c>
      <c r="C5762" s="15" t="s">
        <v>683</v>
      </c>
      <c r="D5762" s="15">
        <v>1</v>
      </c>
      <c r="E5762" s="15" t="s">
        <v>684</v>
      </c>
      <c r="F5762" s="16">
        <v>49500</v>
      </c>
      <c r="G5762" s="2" t="s">
        <v>667</v>
      </c>
      <c r="H5762" s="17">
        <v>43922</v>
      </c>
      <c r="I5762" s="22">
        <v>43922</v>
      </c>
      <c r="J5762" s="19">
        <v>1043200</v>
      </c>
      <c r="K5762" s="15"/>
      <c r="L5762" s="15"/>
    </row>
    <row r="5763" spans="1:12" ht="18.75" customHeight="1" x14ac:dyDescent="0.15">
      <c r="A5763" s="1">
        <v>2020</v>
      </c>
      <c r="B5763" s="15" t="s">
        <v>682</v>
      </c>
      <c r="C5763" s="15" t="s">
        <v>683</v>
      </c>
      <c r="D5763" s="15">
        <v>1</v>
      </c>
      <c r="E5763" s="15" t="s">
        <v>684</v>
      </c>
      <c r="F5763" s="16">
        <v>49500</v>
      </c>
      <c r="G5763" s="2" t="s">
        <v>667</v>
      </c>
      <c r="H5763" s="17">
        <v>43922</v>
      </c>
      <c r="I5763" s="22">
        <v>43922</v>
      </c>
      <c r="J5763" s="19">
        <v>1043201</v>
      </c>
      <c r="K5763" s="15"/>
      <c r="L5763" s="15"/>
    </row>
    <row r="5764" spans="1:12" ht="18.75" customHeight="1" x14ac:dyDescent="0.15">
      <c r="A5764" s="1">
        <v>2020</v>
      </c>
      <c r="B5764" s="15" t="s">
        <v>682</v>
      </c>
      <c r="C5764" s="15" t="s">
        <v>683</v>
      </c>
      <c r="D5764" s="15">
        <v>1</v>
      </c>
      <c r="E5764" s="15" t="s">
        <v>684</v>
      </c>
      <c r="F5764" s="16">
        <v>49500</v>
      </c>
      <c r="G5764" s="2" t="s">
        <v>667</v>
      </c>
      <c r="H5764" s="17">
        <v>43922</v>
      </c>
      <c r="I5764" s="22">
        <v>43922</v>
      </c>
      <c r="J5764" s="19">
        <v>1043202</v>
      </c>
      <c r="K5764" s="15"/>
      <c r="L5764" s="15"/>
    </row>
    <row r="5765" spans="1:12" ht="18.75" customHeight="1" x14ac:dyDescent="0.15">
      <c r="A5765" s="1">
        <v>2020</v>
      </c>
      <c r="B5765" s="15" t="s">
        <v>682</v>
      </c>
      <c r="C5765" s="15" t="s">
        <v>683</v>
      </c>
      <c r="D5765" s="15">
        <v>1</v>
      </c>
      <c r="E5765" s="15" t="s">
        <v>684</v>
      </c>
      <c r="F5765" s="16">
        <v>49500</v>
      </c>
      <c r="G5765" s="2" t="s">
        <v>667</v>
      </c>
      <c r="H5765" s="17">
        <v>43922</v>
      </c>
      <c r="I5765" s="22">
        <v>43922</v>
      </c>
      <c r="J5765" s="19">
        <v>1043203</v>
      </c>
      <c r="K5765" s="15"/>
      <c r="L5765" s="15"/>
    </row>
    <row r="5766" spans="1:12" ht="18.75" customHeight="1" x14ac:dyDescent="0.15">
      <c r="A5766" s="1">
        <v>2020</v>
      </c>
      <c r="B5766" s="15" t="s">
        <v>682</v>
      </c>
      <c r="C5766" s="15" t="s">
        <v>683</v>
      </c>
      <c r="D5766" s="15">
        <v>1</v>
      </c>
      <c r="E5766" s="15" t="s">
        <v>684</v>
      </c>
      <c r="F5766" s="16">
        <v>49500</v>
      </c>
      <c r="G5766" s="2" t="s">
        <v>667</v>
      </c>
      <c r="H5766" s="17">
        <v>43922</v>
      </c>
      <c r="I5766" s="22">
        <v>43922</v>
      </c>
      <c r="J5766" s="19">
        <v>1043204</v>
      </c>
      <c r="K5766" s="15"/>
      <c r="L5766" s="15"/>
    </row>
    <row r="5767" spans="1:12" ht="18.75" customHeight="1" x14ac:dyDescent="0.15">
      <c r="A5767" s="1">
        <v>2020</v>
      </c>
      <c r="B5767" s="15" t="s">
        <v>682</v>
      </c>
      <c r="C5767" s="15" t="s">
        <v>683</v>
      </c>
      <c r="D5767" s="15">
        <v>1</v>
      </c>
      <c r="E5767" s="15" t="s">
        <v>684</v>
      </c>
      <c r="F5767" s="16">
        <v>49500</v>
      </c>
      <c r="G5767" s="2" t="s">
        <v>667</v>
      </c>
      <c r="H5767" s="17">
        <v>43922</v>
      </c>
      <c r="I5767" s="22">
        <v>43922</v>
      </c>
      <c r="J5767" s="19">
        <v>1043205</v>
      </c>
      <c r="K5767" s="15"/>
      <c r="L5767" s="15"/>
    </row>
    <row r="5768" spans="1:12" ht="18.75" customHeight="1" x14ac:dyDescent="0.15">
      <c r="A5768" s="1">
        <v>2020</v>
      </c>
      <c r="B5768" s="15" t="s">
        <v>682</v>
      </c>
      <c r="C5768" s="15" t="s">
        <v>683</v>
      </c>
      <c r="D5768" s="15">
        <v>1</v>
      </c>
      <c r="E5768" s="15" t="s">
        <v>684</v>
      </c>
      <c r="F5768" s="16">
        <v>49500</v>
      </c>
      <c r="G5768" s="2" t="s">
        <v>667</v>
      </c>
      <c r="H5768" s="17">
        <v>43922</v>
      </c>
      <c r="I5768" s="22">
        <v>43922</v>
      </c>
      <c r="J5768" s="19">
        <v>1043206</v>
      </c>
      <c r="K5768" s="15"/>
      <c r="L5768" s="15"/>
    </row>
    <row r="5769" spans="1:12" ht="18.75" customHeight="1" x14ac:dyDescent="0.15">
      <c r="A5769" s="1">
        <v>2020</v>
      </c>
      <c r="B5769" s="15" t="s">
        <v>682</v>
      </c>
      <c r="C5769" s="15" t="s">
        <v>683</v>
      </c>
      <c r="D5769" s="15">
        <v>1</v>
      </c>
      <c r="E5769" s="15" t="s">
        <v>684</v>
      </c>
      <c r="F5769" s="16">
        <v>49500</v>
      </c>
      <c r="G5769" s="2" t="s">
        <v>667</v>
      </c>
      <c r="H5769" s="17">
        <v>43922</v>
      </c>
      <c r="I5769" s="22">
        <v>43922</v>
      </c>
      <c r="J5769" s="19">
        <v>1043207</v>
      </c>
      <c r="K5769" s="15"/>
      <c r="L5769" s="15"/>
    </row>
    <row r="5770" spans="1:12" ht="18.75" customHeight="1" x14ac:dyDescent="0.15">
      <c r="A5770" s="1">
        <v>2020</v>
      </c>
      <c r="B5770" s="15" t="s">
        <v>682</v>
      </c>
      <c r="C5770" s="15" t="s">
        <v>683</v>
      </c>
      <c r="D5770" s="15">
        <v>1</v>
      </c>
      <c r="E5770" s="15" t="s">
        <v>684</v>
      </c>
      <c r="F5770" s="16">
        <v>49500</v>
      </c>
      <c r="G5770" s="2" t="s">
        <v>667</v>
      </c>
      <c r="H5770" s="17">
        <v>43922</v>
      </c>
      <c r="I5770" s="22">
        <v>43922</v>
      </c>
      <c r="J5770" s="19">
        <v>1043208</v>
      </c>
      <c r="K5770" s="15"/>
      <c r="L5770" s="15"/>
    </row>
    <row r="5771" spans="1:12" ht="18.75" customHeight="1" x14ac:dyDescent="0.15">
      <c r="A5771" s="1">
        <v>2020</v>
      </c>
      <c r="B5771" s="15" t="s">
        <v>682</v>
      </c>
      <c r="C5771" s="15" t="s">
        <v>685</v>
      </c>
      <c r="D5771" s="15">
        <v>1</v>
      </c>
      <c r="E5771" s="15" t="s">
        <v>686</v>
      </c>
      <c r="F5771" s="16">
        <v>57200</v>
      </c>
      <c r="G5771" s="2" t="s">
        <v>667</v>
      </c>
      <c r="H5771" s="17">
        <v>43922</v>
      </c>
      <c r="I5771" s="22">
        <v>43922</v>
      </c>
      <c r="J5771" s="19">
        <v>1043209</v>
      </c>
      <c r="K5771" s="15"/>
      <c r="L5771" s="15"/>
    </row>
    <row r="5772" spans="1:12" ht="18.75" customHeight="1" x14ac:dyDescent="0.15">
      <c r="A5772" s="1">
        <v>2020</v>
      </c>
      <c r="B5772" s="15" t="s">
        <v>682</v>
      </c>
      <c r="C5772" s="15" t="s">
        <v>685</v>
      </c>
      <c r="D5772" s="15">
        <v>1</v>
      </c>
      <c r="E5772" s="15" t="s">
        <v>686</v>
      </c>
      <c r="F5772" s="16">
        <v>57200</v>
      </c>
      <c r="G5772" s="2" t="s">
        <v>667</v>
      </c>
      <c r="H5772" s="17">
        <v>43922</v>
      </c>
      <c r="I5772" s="22">
        <v>43922</v>
      </c>
      <c r="J5772" s="19">
        <v>1043210</v>
      </c>
      <c r="K5772" s="15"/>
      <c r="L5772" s="15"/>
    </row>
    <row r="5773" spans="1:12" ht="18.75" customHeight="1" x14ac:dyDescent="0.15">
      <c r="A5773" s="1">
        <v>2020</v>
      </c>
      <c r="B5773" s="15" t="s">
        <v>682</v>
      </c>
      <c r="C5773" s="15" t="s">
        <v>685</v>
      </c>
      <c r="D5773" s="15">
        <v>1</v>
      </c>
      <c r="E5773" s="15" t="s">
        <v>686</v>
      </c>
      <c r="F5773" s="16">
        <v>57200</v>
      </c>
      <c r="G5773" s="2" t="s">
        <v>667</v>
      </c>
      <c r="H5773" s="17">
        <v>43922</v>
      </c>
      <c r="I5773" s="22">
        <v>43922</v>
      </c>
      <c r="J5773" s="19">
        <v>1043211</v>
      </c>
      <c r="K5773" s="15"/>
      <c r="L5773" s="15"/>
    </row>
    <row r="5774" spans="1:12" ht="18.75" customHeight="1" x14ac:dyDescent="0.15">
      <c r="A5774" s="1">
        <v>2020</v>
      </c>
      <c r="B5774" s="15" t="s">
        <v>682</v>
      </c>
      <c r="C5774" s="15" t="s">
        <v>685</v>
      </c>
      <c r="D5774" s="15">
        <v>1</v>
      </c>
      <c r="E5774" s="15" t="s">
        <v>686</v>
      </c>
      <c r="F5774" s="16">
        <v>57200</v>
      </c>
      <c r="G5774" s="2" t="s">
        <v>667</v>
      </c>
      <c r="H5774" s="17">
        <v>43922</v>
      </c>
      <c r="I5774" s="22">
        <v>43922</v>
      </c>
      <c r="J5774" s="19">
        <v>1043212</v>
      </c>
      <c r="K5774" s="15"/>
      <c r="L5774" s="15"/>
    </row>
    <row r="5775" spans="1:12" ht="18.75" customHeight="1" x14ac:dyDescent="0.15">
      <c r="A5775" s="1">
        <v>2020</v>
      </c>
      <c r="B5775" s="15" t="s">
        <v>682</v>
      </c>
      <c r="C5775" s="15" t="s">
        <v>685</v>
      </c>
      <c r="D5775" s="15">
        <v>1</v>
      </c>
      <c r="E5775" s="15" t="s">
        <v>686</v>
      </c>
      <c r="F5775" s="16">
        <v>57200</v>
      </c>
      <c r="G5775" s="2" t="s">
        <v>667</v>
      </c>
      <c r="H5775" s="17">
        <v>43922</v>
      </c>
      <c r="I5775" s="22">
        <v>43922</v>
      </c>
      <c r="J5775" s="19">
        <v>1043213</v>
      </c>
      <c r="K5775" s="15"/>
      <c r="L5775" s="15"/>
    </row>
    <row r="5776" spans="1:12" ht="18.75" customHeight="1" x14ac:dyDescent="0.15">
      <c r="A5776" s="1">
        <v>2020</v>
      </c>
      <c r="B5776" s="15" t="s">
        <v>682</v>
      </c>
      <c r="C5776" s="15" t="s">
        <v>685</v>
      </c>
      <c r="D5776" s="15">
        <v>1</v>
      </c>
      <c r="E5776" s="15" t="s">
        <v>686</v>
      </c>
      <c r="F5776" s="16">
        <v>57200</v>
      </c>
      <c r="G5776" s="2" t="s">
        <v>667</v>
      </c>
      <c r="H5776" s="17">
        <v>43922</v>
      </c>
      <c r="I5776" s="22">
        <v>43922</v>
      </c>
      <c r="J5776" s="19">
        <v>1043214</v>
      </c>
      <c r="K5776" s="15"/>
      <c r="L5776" s="15"/>
    </row>
    <row r="5777" spans="1:12" ht="18.75" customHeight="1" x14ac:dyDescent="0.15">
      <c r="A5777" s="1">
        <v>2020</v>
      </c>
      <c r="B5777" s="15" t="s">
        <v>682</v>
      </c>
      <c r="C5777" s="15" t="s">
        <v>685</v>
      </c>
      <c r="D5777" s="15">
        <v>1</v>
      </c>
      <c r="E5777" s="15" t="s">
        <v>686</v>
      </c>
      <c r="F5777" s="16">
        <v>57200</v>
      </c>
      <c r="G5777" s="2" t="s">
        <v>667</v>
      </c>
      <c r="H5777" s="17">
        <v>43922</v>
      </c>
      <c r="I5777" s="22">
        <v>43922</v>
      </c>
      <c r="J5777" s="19">
        <v>1043215</v>
      </c>
      <c r="K5777" s="15"/>
      <c r="L5777" s="15"/>
    </row>
    <row r="5778" spans="1:12" ht="18.75" customHeight="1" x14ac:dyDescent="0.15">
      <c r="A5778" s="1">
        <v>2020</v>
      </c>
      <c r="B5778" s="15" t="s">
        <v>682</v>
      </c>
      <c r="C5778" s="15" t="s">
        <v>685</v>
      </c>
      <c r="D5778" s="15">
        <v>1</v>
      </c>
      <c r="E5778" s="15" t="s">
        <v>686</v>
      </c>
      <c r="F5778" s="16">
        <v>57200</v>
      </c>
      <c r="G5778" s="2" t="s">
        <v>667</v>
      </c>
      <c r="H5778" s="17">
        <v>43922</v>
      </c>
      <c r="I5778" s="22">
        <v>43922</v>
      </c>
      <c r="J5778" s="19">
        <v>1043216</v>
      </c>
      <c r="K5778" s="15"/>
      <c r="L5778" s="15"/>
    </row>
    <row r="5779" spans="1:12" ht="18.75" customHeight="1" x14ac:dyDescent="0.15">
      <c r="A5779" s="1">
        <v>2020</v>
      </c>
      <c r="B5779" s="15" t="s">
        <v>682</v>
      </c>
      <c r="C5779" s="15" t="s">
        <v>685</v>
      </c>
      <c r="D5779" s="15">
        <v>1</v>
      </c>
      <c r="E5779" s="15" t="s">
        <v>686</v>
      </c>
      <c r="F5779" s="16">
        <v>57200</v>
      </c>
      <c r="G5779" s="2" t="s">
        <v>667</v>
      </c>
      <c r="H5779" s="17">
        <v>43922</v>
      </c>
      <c r="I5779" s="22">
        <v>43922</v>
      </c>
      <c r="J5779" s="19">
        <v>1043217</v>
      </c>
      <c r="K5779" s="15"/>
      <c r="L5779" s="15"/>
    </row>
    <row r="5780" spans="1:12" ht="18.75" customHeight="1" x14ac:dyDescent="0.15">
      <c r="A5780" s="1">
        <v>2020</v>
      </c>
      <c r="B5780" s="15" t="s">
        <v>682</v>
      </c>
      <c r="C5780" s="15" t="s">
        <v>685</v>
      </c>
      <c r="D5780" s="15">
        <v>1</v>
      </c>
      <c r="E5780" s="15" t="s">
        <v>686</v>
      </c>
      <c r="F5780" s="16">
        <v>57200</v>
      </c>
      <c r="G5780" s="2" t="s">
        <v>667</v>
      </c>
      <c r="H5780" s="17">
        <v>43922</v>
      </c>
      <c r="I5780" s="22">
        <v>43922</v>
      </c>
      <c r="J5780" s="19">
        <v>1043218</v>
      </c>
      <c r="K5780" s="15"/>
      <c r="L5780" s="15"/>
    </row>
    <row r="5781" spans="1:12" ht="18.75" customHeight="1" x14ac:dyDescent="0.15">
      <c r="A5781" s="1">
        <v>2020</v>
      </c>
      <c r="B5781" s="15" t="s">
        <v>682</v>
      </c>
      <c r="C5781" s="15" t="s">
        <v>685</v>
      </c>
      <c r="D5781" s="15">
        <v>1</v>
      </c>
      <c r="E5781" s="15" t="s">
        <v>686</v>
      </c>
      <c r="F5781" s="16">
        <v>57200</v>
      </c>
      <c r="G5781" s="2" t="s">
        <v>667</v>
      </c>
      <c r="H5781" s="17">
        <v>43922</v>
      </c>
      <c r="I5781" s="22">
        <v>43922</v>
      </c>
      <c r="J5781" s="19">
        <v>1043219</v>
      </c>
      <c r="K5781" s="15"/>
      <c r="L5781" s="15"/>
    </row>
    <row r="5782" spans="1:12" ht="18.75" customHeight="1" x14ac:dyDescent="0.15">
      <c r="A5782" s="1">
        <v>2020</v>
      </c>
      <c r="B5782" s="15" t="s">
        <v>682</v>
      </c>
      <c r="C5782" s="15" t="s">
        <v>685</v>
      </c>
      <c r="D5782" s="15">
        <v>1</v>
      </c>
      <c r="E5782" s="15" t="s">
        <v>686</v>
      </c>
      <c r="F5782" s="16">
        <v>57200</v>
      </c>
      <c r="G5782" s="2" t="s">
        <v>667</v>
      </c>
      <c r="H5782" s="17">
        <v>43922</v>
      </c>
      <c r="I5782" s="22">
        <v>43922</v>
      </c>
      <c r="J5782" s="19">
        <v>1043220</v>
      </c>
      <c r="K5782" s="15"/>
      <c r="L5782" s="15"/>
    </row>
    <row r="5783" spans="1:12" ht="18.75" customHeight="1" x14ac:dyDescent="0.15">
      <c r="A5783" s="1">
        <v>2020</v>
      </c>
      <c r="B5783" s="15" t="s">
        <v>682</v>
      </c>
      <c r="C5783" s="15" t="s">
        <v>685</v>
      </c>
      <c r="D5783" s="15">
        <v>1</v>
      </c>
      <c r="E5783" s="15" t="s">
        <v>686</v>
      </c>
      <c r="F5783" s="16">
        <v>57200</v>
      </c>
      <c r="G5783" s="2" t="s">
        <v>667</v>
      </c>
      <c r="H5783" s="17">
        <v>43922</v>
      </c>
      <c r="I5783" s="22">
        <v>43922</v>
      </c>
      <c r="J5783" s="19">
        <v>1043221</v>
      </c>
      <c r="K5783" s="15"/>
      <c r="L5783" s="15"/>
    </row>
    <row r="5784" spans="1:12" ht="18.75" customHeight="1" x14ac:dyDescent="0.15">
      <c r="A5784" s="1">
        <v>2020</v>
      </c>
      <c r="B5784" s="15" t="s">
        <v>682</v>
      </c>
      <c r="C5784" s="15" t="s">
        <v>685</v>
      </c>
      <c r="D5784" s="15">
        <v>1</v>
      </c>
      <c r="E5784" s="15" t="s">
        <v>686</v>
      </c>
      <c r="F5784" s="16">
        <v>57200</v>
      </c>
      <c r="G5784" s="2" t="s">
        <v>667</v>
      </c>
      <c r="H5784" s="17">
        <v>43922</v>
      </c>
      <c r="I5784" s="22">
        <v>43922</v>
      </c>
      <c r="J5784" s="19">
        <v>1043222</v>
      </c>
      <c r="K5784" s="15"/>
      <c r="L5784" s="15"/>
    </row>
    <row r="5785" spans="1:12" ht="18.75" customHeight="1" x14ac:dyDescent="0.15">
      <c r="A5785" s="1">
        <v>2020</v>
      </c>
      <c r="B5785" s="15" t="s">
        <v>687</v>
      </c>
      <c r="C5785" s="15" t="s">
        <v>688</v>
      </c>
      <c r="D5785" s="15">
        <v>1</v>
      </c>
      <c r="E5785" s="15" t="s">
        <v>679</v>
      </c>
      <c r="F5785" s="16">
        <v>283800</v>
      </c>
      <c r="G5785" s="2" t="s">
        <v>667</v>
      </c>
      <c r="H5785" s="17">
        <v>43922</v>
      </c>
      <c r="I5785" s="22">
        <v>43922</v>
      </c>
      <c r="J5785" s="19">
        <v>1047464</v>
      </c>
      <c r="K5785" s="15"/>
      <c r="L5785" s="15"/>
    </row>
    <row r="5786" spans="1:12" ht="18.75" customHeight="1" x14ac:dyDescent="0.15">
      <c r="A5786" s="1">
        <v>2020</v>
      </c>
      <c r="B5786" s="15" t="s">
        <v>687</v>
      </c>
      <c r="C5786" s="15" t="s">
        <v>688</v>
      </c>
      <c r="D5786" s="15">
        <v>1</v>
      </c>
      <c r="E5786" s="15" t="s">
        <v>679</v>
      </c>
      <c r="F5786" s="16">
        <v>283800</v>
      </c>
      <c r="G5786" s="2" t="s">
        <v>667</v>
      </c>
      <c r="H5786" s="17">
        <v>43922</v>
      </c>
      <c r="I5786" s="22">
        <v>43922</v>
      </c>
      <c r="J5786" s="19">
        <v>1047465</v>
      </c>
      <c r="K5786" s="15"/>
      <c r="L5786" s="15"/>
    </row>
    <row r="5787" spans="1:12" ht="18.75" customHeight="1" x14ac:dyDescent="0.15">
      <c r="A5787" s="1">
        <v>2020</v>
      </c>
      <c r="B5787" s="15" t="s">
        <v>689</v>
      </c>
      <c r="C5787" s="15" t="s">
        <v>690</v>
      </c>
      <c r="D5787" s="15">
        <v>1</v>
      </c>
      <c r="E5787" s="15" t="s">
        <v>679</v>
      </c>
      <c r="F5787" s="16">
        <v>198000</v>
      </c>
      <c r="G5787" s="2" t="s">
        <v>667</v>
      </c>
      <c r="H5787" s="17">
        <v>43977</v>
      </c>
      <c r="I5787" s="22">
        <v>43977</v>
      </c>
      <c r="J5787" s="19">
        <v>1052144</v>
      </c>
      <c r="K5787" s="15"/>
      <c r="L5787" s="15"/>
    </row>
    <row r="5788" spans="1:12" ht="18.75" customHeight="1" x14ac:dyDescent="0.15">
      <c r="A5788" s="1">
        <v>2020</v>
      </c>
      <c r="B5788" s="15" t="s">
        <v>689</v>
      </c>
      <c r="C5788" s="15" t="s">
        <v>690</v>
      </c>
      <c r="D5788" s="15">
        <v>1</v>
      </c>
      <c r="E5788" s="15" t="s">
        <v>679</v>
      </c>
      <c r="F5788" s="16">
        <v>198000</v>
      </c>
      <c r="G5788" s="2" t="s">
        <v>667</v>
      </c>
      <c r="H5788" s="17">
        <v>43977</v>
      </c>
      <c r="I5788" s="22">
        <v>43977</v>
      </c>
      <c r="J5788" s="19">
        <v>1052145</v>
      </c>
      <c r="K5788" s="15"/>
      <c r="L5788" s="15"/>
    </row>
    <row r="5789" spans="1:12" ht="18.75" customHeight="1" x14ac:dyDescent="0.15">
      <c r="A5789" s="1">
        <v>2020</v>
      </c>
      <c r="B5789" s="15" t="s">
        <v>689</v>
      </c>
      <c r="C5789" s="15" t="s">
        <v>690</v>
      </c>
      <c r="D5789" s="15">
        <v>1</v>
      </c>
      <c r="E5789" s="15" t="s">
        <v>679</v>
      </c>
      <c r="F5789" s="16">
        <v>198000</v>
      </c>
      <c r="G5789" s="2" t="s">
        <v>667</v>
      </c>
      <c r="H5789" s="17">
        <v>43977</v>
      </c>
      <c r="I5789" s="22">
        <v>43977</v>
      </c>
      <c r="J5789" s="19">
        <v>1052146</v>
      </c>
      <c r="K5789" s="15"/>
      <c r="L5789" s="15"/>
    </row>
    <row r="5790" spans="1:12" ht="18.75" customHeight="1" x14ac:dyDescent="0.15">
      <c r="A5790" s="1">
        <v>2020</v>
      </c>
      <c r="B5790" s="15" t="s">
        <v>689</v>
      </c>
      <c r="C5790" s="15" t="s">
        <v>690</v>
      </c>
      <c r="D5790" s="15">
        <v>1</v>
      </c>
      <c r="E5790" s="15" t="s">
        <v>679</v>
      </c>
      <c r="F5790" s="16">
        <v>198000</v>
      </c>
      <c r="G5790" s="2" t="s">
        <v>667</v>
      </c>
      <c r="H5790" s="17">
        <v>43977</v>
      </c>
      <c r="I5790" s="22">
        <v>43977</v>
      </c>
      <c r="J5790" s="19">
        <v>1052147</v>
      </c>
      <c r="K5790" s="15"/>
      <c r="L5790" s="15"/>
    </row>
    <row r="5791" spans="1:12" ht="18.75" customHeight="1" x14ac:dyDescent="0.15">
      <c r="A5791" s="1">
        <v>2020</v>
      </c>
      <c r="B5791" s="15" t="s">
        <v>689</v>
      </c>
      <c r="C5791" s="15" t="s">
        <v>690</v>
      </c>
      <c r="D5791" s="15">
        <v>1</v>
      </c>
      <c r="E5791" s="15" t="s">
        <v>679</v>
      </c>
      <c r="F5791" s="16">
        <v>198000</v>
      </c>
      <c r="G5791" s="2" t="s">
        <v>667</v>
      </c>
      <c r="H5791" s="17">
        <v>43977</v>
      </c>
      <c r="I5791" s="22">
        <v>43977</v>
      </c>
      <c r="J5791" s="19">
        <v>1052148</v>
      </c>
      <c r="K5791" s="15"/>
      <c r="L5791" s="15"/>
    </row>
    <row r="5792" spans="1:12" ht="18.75" customHeight="1" x14ac:dyDescent="0.15">
      <c r="A5792" s="1">
        <v>2021</v>
      </c>
      <c r="B5792" s="15" t="s">
        <v>699</v>
      </c>
      <c r="C5792" s="15" t="s">
        <v>692</v>
      </c>
      <c r="D5792" s="15">
        <v>1</v>
      </c>
      <c r="E5792" s="15" t="s">
        <v>705</v>
      </c>
      <c r="F5792" s="16">
        <v>595200</v>
      </c>
      <c r="G5792" s="2" t="s">
        <v>667</v>
      </c>
      <c r="H5792" s="17">
        <v>44515</v>
      </c>
      <c r="I5792" s="22">
        <v>44515</v>
      </c>
      <c r="J5792" s="19" t="s">
        <v>707</v>
      </c>
      <c r="K5792" s="15"/>
      <c r="L5792" s="15" t="s">
        <v>733</v>
      </c>
    </row>
    <row r="5793" spans="1:12" ht="18.75" customHeight="1" x14ac:dyDescent="0.15">
      <c r="A5793" s="1">
        <v>2021</v>
      </c>
      <c r="B5793" s="15" t="s">
        <v>699</v>
      </c>
      <c r="C5793" s="15" t="s">
        <v>693</v>
      </c>
      <c r="D5793" s="15">
        <v>1</v>
      </c>
      <c r="E5793" s="15" t="s">
        <v>705</v>
      </c>
      <c r="F5793" s="16">
        <v>297600</v>
      </c>
      <c r="G5793" s="2" t="s">
        <v>667</v>
      </c>
      <c r="H5793" s="17">
        <v>44515</v>
      </c>
      <c r="I5793" s="22">
        <v>44515</v>
      </c>
      <c r="J5793" s="19" t="s">
        <v>708</v>
      </c>
      <c r="K5793" s="15"/>
      <c r="L5793" s="15"/>
    </row>
    <row r="5794" spans="1:12" ht="18.75" customHeight="1" x14ac:dyDescent="0.15">
      <c r="A5794" s="1">
        <v>2021</v>
      </c>
      <c r="B5794" s="15" t="s">
        <v>701</v>
      </c>
      <c r="C5794" s="15" t="s">
        <v>695</v>
      </c>
      <c r="D5794" s="15">
        <v>1</v>
      </c>
      <c r="E5794" s="15" t="s">
        <v>684</v>
      </c>
      <c r="F5794" s="16">
        <v>65720</v>
      </c>
      <c r="G5794" s="2" t="s">
        <v>667</v>
      </c>
      <c r="H5794" s="17">
        <v>44515</v>
      </c>
      <c r="I5794" s="22">
        <v>44515</v>
      </c>
      <c r="J5794" s="19" t="s">
        <v>709</v>
      </c>
      <c r="K5794" s="15"/>
      <c r="L5794" s="15"/>
    </row>
    <row r="5795" spans="1:12" ht="18.75" customHeight="1" x14ac:dyDescent="0.15">
      <c r="A5795" s="1">
        <v>2021</v>
      </c>
      <c r="B5795" s="15" t="s">
        <v>701</v>
      </c>
      <c r="C5795" s="15" t="s">
        <v>694</v>
      </c>
      <c r="D5795" s="15">
        <v>1</v>
      </c>
      <c r="E5795" s="15" t="s">
        <v>684</v>
      </c>
      <c r="F5795" s="16">
        <v>65720</v>
      </c>
      <c r="G5795" s="2" t="s">
        <v>667</v>
      </c>
      <c r="H5795" s="17">
        <v>44515</v>
      </c>
      <c r="I5795" s="22">
        <v>44515</v>
      </c>
      <c r="J5795" s="19" t="s">
        <v>710</v>
      </c>
      <c r="K5795" s="15"/>
      <c r="L5795" s="15"/>
    </row>
    <row r="5796" spans="1:12" ht="18.75" customHeight="1" x14ac:dyDescent="0.15">
      <c r="A5796" s="1">
        <v>2021</v>
      </c>
      <c r="B5796" s="15" t="s">
        <v>701</v>
      </c>
      <c r="C5796" s="15" t="s">
        <v>694</v>
      </c>
      <c r="D5796" s="15">
        <v>1</v>
      </c>
      <c r="E5796" s="15" t="s">
        <v>684</v>
      </c>
      <c r="F5796" s="16">
        <v>65720</v>
      </c>
      <c r="G5796" s="2" t="s">
        <v>667</v>
      </c>
      <c r="H5796" s="17">
        <v>44515</v>
      </c>
      <c r="I5796" s="22">
        <v>44515</v>
      </c>
      <c r="J5796" s="19" t="s">
        <v>711</v>
      </c>
      <c r="K5796" s="15"/>
      <c r="L5796" s="15"/>
    </row>
    <row r="5797" spans="1:12" ht="18.75" customHeight="1" x14ac:dyDescent="0.15">
      <c r="A5797" s="1">
        <v>2021</v>
      </c>
      <c r="B5797" s="15" t="s">
        <v>701</v>
      </c>
      <c r="C5797" s="15" t="s">
        <v>694</v>
      </c>
      <c r="D5797" s="15">
        <v>1</v>
      </c>
      <c r="E5797" s="15" t="s">
        <v>684</v>
      </c>
      <c r="F5797" s="16">
        <v>65720</v>
      </c>
      <c r="G5797" s="2" t="s">
        <v>667</v>
      </c>
      <c r="H5797" s="17">
        <v>44515</v>
      </c>
      <c r="I5797" s="22">
        <v>44515</v>
      </c>
      <c r="J5797" s="19" t="s">
        <v>712</v>
      </c>
      <c r="K5797" s="15"/>
      <c r="L5797" s="15"/>
    </row>
    <row r="5798" spans="1:12" ht="18.75" customHeight="1" x14ac:dyDescent="0.15">
      <c r="A5798" s="1">
        <v>2021</v>
      </c>
      <c r="B5798" s="15" t="s">
        <v>701</v>
      </c>
      <c r="C5798" s="15" t="s">
        <v>694</v>
      </c>
      <c r="D5798" s="15">
        <v>1</v>
      </c>
      <c r="E5798" s="15" t="s">
        <v>684</v>
      </c>
      <c r="F5798" s="16">
        <v>65720</v>
      </c>
      <c r="G5798" s="2" t="s">
        <v>667</v>
      </c>
      <c r="H5798" s="17">
        <v>44515</v>
      </c>
      <c r="I5798" s="22">
        <v>44515</v>
      </c>
      <c r="J5798" s="19" t="s">
        <v>713</v>
      </c>
      <c r="K5798" s="15"/>
      <c r="L5798" s="15"/>
    </row>
    <row r="5799" spans="1:12" ht="18.75" customHeight="1" x14ac:dyDescent="0.15">
      <c r="A5799" s="1">
        <v>2021</v>
      </c>
      <c r="B5799" s="15" t="s">
        <v>701</v>
      </c>
      <c r="C5799" s="15" t="s">
        <v>694</v>
      </c>
      <c r="D5799" s="15">
        <v>1</v>
      </c>
      <c r="E5799" s="15" t="s">
        <v>684</v>
      </c>
      <c r="F5799" s="16">
        <v>65720</v>
      </c>
      <c r="G5799" s="2" t="s">
        <v>667</v>
      </c>
      <c r="H5799" s="17">
        <v>44515</v>
      </c>
      <c r="I5799" s="22">
        <v>44515</v>
      </c>
      <c r="J5799" s="19" t="s">
        <v>714</v>
      </c>
      <c r="K5799" s="15"/>
      <c r="L5799" s="15"/>
    </row>
    <row r="5800" spans="1:12" ht="18.75" customHeight="1" x14ac:dyDescent="0.15">
      <c r="A5800" s="1">
        <v>2021</v>
      </c>
      <c r="B5800" s="15" t="s">
        <v>700</v>
      </c>
      <c r="C5800" s="15" t="s">
        <v>696</v>
      </c>
      <c r="D5800" s="15">
        <v>1</v>
      </c>
      <c r="E5800" s="15" t="s">
        <v>706</v>
      </c>
      <c r="F5800" s="16">
        <v>65720</v>
      </c>
      <c r="G5800" s="2" t="s">
        <v>667</v>
      </c>
      <c r="H5800" s="17">
        <v>44515</v>
      </c>
      <c r="I5800" s="22">
        <v>44515</v>
      </c>
      <c r="J5800" s="19" t="s">
        <v>715</v>
      </c>
      <c r="K5800" s="15"/>
      <c r="L5800" s="15"/>
    </row>
    <row r="5801" spans="1:12" ht="18.75" customHeight="1" x14ac:dyDescent="0.15">
      <c r="A5801" s="1">
        <v>2021</v>
      </c>
      <c r="B5801" s="15" t="s">
        <v>700</v>
      </c>
      <c r="C5801" s="15" t="s">
        <v>696</v>
      </c>
      <c r="D5801" s="15">
        <v>1</v>
      </c>
      <c r="E5801" s="15" t="s">
        <v>706</v>
      </c>
      <c r="F5801" s="16">
        <v>65720</v>
      </c>
      <c r="G5801" s="2" t="s">
        <v>667</v>
      </c>
      <c r="H5801" s="17">
        <v>44515</v>
      </c>
      <c r="I5801" s="22">
        <v>44515</v>
      </c>
      <c r="J5801" s="19" t="s">
        <v>716</v>
      </c>
      <c r="K5801" s="15"/>
      <c r="L5801" s="15"/>
    </row>
    <row r="5802" spans="1:12" ht="18.75" customHeight="1" x14ac:dyDescent="0.15">
      <c r="A5802" s="1">
        <v>2021</v>
      </c>
      <c r="B5802" s="15" t="s">
        <v>700</v>
      </c>
      <c r="C5802" s="15" t="s">
        <v>696</v>
      </c>
      <c r="D5802" s="15">
        <v>1</v>
      </c>
      <c r="E5802" s="15" t="s">
        <v>706</v>
      </c>
      <c r="F5802" s="16">
        <v>65720</v>
      </c>
      <c r="G5802" s="2" t="s">
        <v>667</v>
      </c>
      <c r="H5802" s="17">
        <v>44515</v>
      </c>
      <c r="I5802" s="22">
        <v>44515</v>
      </c>
      <c r="J5802" s="19" t="s">
        <v>717</v>
      </c>
      <c r="K5802" s="15"/>
      <c r="L5802" s="15"/>
    </row>
    <row r="5803" spans="1:12" ht="18.75" customHeight="1" x14ac:dyDescent="0.15">
      <c r="A5803" s="1">
        <v>2021</v>
      </c>
      <c r="B5803" s="15" t="s">
        <v>700</v>
      </c>
      <c r="C5803" s="15" t="s">
        <v>696</v>
      </c>
      <c r="D5803" s="15">
        <v>1</v>
      </c>
      <c r="E5803" s="15" t="s">
        <v>706</v>
      </c>
      <c r="F5803" s="16">
        <v>65720</v>
      </c>
      <c r="G5803" s="2" t="s">
        <v>667</v>
      </c>
      <c r="H5803" s="17">
        <v>44515</v>
      </c>
      <c r="I5803" s="22">
        <v>44515</v>
      </c>
      <c r="J5803" s="19" t="s">
        <v>718</v>
      </c>
      <c r="K5803" s="15"/>
      <c r="L5803" s="15"/>
    </row>
    <row r="5804" spans="1:12" ht="18.75" customHeight="1" x14ac:dyDescent="0.15">
      <c r="A5804" s="1">
        <v>2021</v>
      </c>
      <c r="B5804" s="15" t="s">
        <v>700</v>
      </c>
      <c r="C5804" s="15" t="s">
        <v>696</v>
      </c>
      <c r="D5804" s="15">
        <v>1</v>
      </c>
      <c r="E5804" s="15" t="s">
        <v>706</v>
      </c>
      <c r="F5804" s="16">
        <v>65720</v>
      </c>
      <c r="G5804" s="2" t="s">
        <v>667</v>
      </c>
      <c r="H5804" s="17">
        <v>44515</v>
      </c>
      <c r="I5804" s="22">
        <v>44515</v>
      </c>
      <c r="J5804" s="19" t="s">
        <v>719</v>
      </c>
      <c r="K5804" s="15"/>
      <c r="L5804" s="15"/>
    </row>
    <row r="5805" spans="1:12" ht="18.75" customHeight="1" x14ac:dyDescent="0.15">
      <c r="A5805" s="1">
        <v>2021</v>
      </c>
      <c r="B5805" s="15" t="s">
        <v>700</v>
      </c>
      <c r="C5805" s="15" t="s">
        <v>696</v>
      </c>
      <c r="D5805" s="15">
        <v>1</v>
      </c>
      <c r="E5805" s="15" t="s">
        <v>706</v>
      </c>
      <c r="F5805" s="16">
        <v>65720</v>
      </c>
      <c r="G5805" s="2" t="s">
        <v>667</v>
      </c>
      <c r="H5805" s="17">
        <v>44515</v>
      </c>
      <c r="I5805" s="22">
        <v>44515</v>
      </c>
      <c r="J5805" s="19" t="s">
        <v>720</v>
      </c>
      <c r="K5805" s="15"/>
      <c r="L5805" s="15"/>
    </row>
    <row r="5806" spans="1:12" ht="18.75" customHeight="1" x14ac:dyDescent="0.15">
      <c r="A5806" s="1">
        <v>2021</v>
      </c>
      <c r="B5806" s="15" t="s">
        <v>700</v>
      </c>
      <c r="C5806" s="15" t="s">
        <v>697</v>
      </c>
      <c r="D5806" s="15">
        <v>1</v>
      </c>
      <c r="E5806" s="15" t="s">
        <v>706</v>
      </c>
      <c r="F5806" s="16">
        <v>24800</v>
      </c>
      <c r="G5806" s="2" t="s">
        <v>667</v>
      </c>
      <c r="H5806" s="17">
        <v>44515</v>
      </c>
      <c r="I5806" s="22">
        <v>44515</v>
      </c>
      <c r="J5806" s="19" t="s">
        <v>721</v>
      </c>
      <c r="K5806" s="15"/>
      <c r="L5806" s="15"/>
    </row>
    <row r="5807" spans="1:12" ht="18.75" customHeight="1" x14ac:dyDescent="0.15">
      <c r="A5807" s="1">
        <v>2021</v>
      </c>
      <c r="B5807" s="15" t="s">
        <v>700</v>
      </c>
      <c r="C5807" s="15" t="s">
        <v>697</v>
      </c>
      <c r="D5807" s="15">
        <v>1</v>
      </c>
      <c r="E5807" s="15" t="s">
        <v>706</v>
      </c>
      <c r="F5807" s="16">
        <v>24800</v>
      </c>
      <c r="G5807" s="2" t="s">
        <v>667</v>
      </c>
      <c r="H5807" s="17">
        <v>44515</v>
      </c>
      <c r="I5807" s="22">
        <v>44515</v>
      </c>
      <c r="J5807" s="19" t="s">
        <v>722</v>
      </c>
      <c r="K5807" s="15"/>
      <c r="L5807" s="15"/>
    </row>
    <row r="5808" spans="1:12" ht="18.75" customHeight="1" x14ac:dyDescent="0.15">
      <c r="A5808" s="1">
        <v>2021</v>
      </c>
      <c r="B5808" s="15" t="s">
        <v>700</v>
      </c>
      <c r="C5808" s="15" t="s">
        <v>697</v>
      </c>
      <c r="D5808" s="15">
        <v>1</v>
      </c>
      <c r="E5808" s="15" t="s">
        <v>706</v>
      </c>
      <c r="F5808" s="16">
        <v>24800</v>
      </c>
      <c r="G5808" s="2" t="s">
        <v>667</v>
      </c>
      <c r="H5808" s="17">
        <v>44515</v>
      </c>
      <c r="I5808" s="22">
        <v>44515</v>
      </c>
      <c r="J5808" s="19" t="s">
        <v>723</v>
      </c>
      <c r="K5808" s="15"/>
      <c r="L5808" s="15"/>
    </row>
    <row r="5809" spans="1:12" ht="18.75" customHeight="1" x14ac:dyDescent="0.15">
      <c r="A5809" s="1">
        <v>2021</v>
      </c>
      <c r="B5809" s="15" t="s">
        <v>700</v>
      </c>
      <c r="C5809" s="15" t="s">
        <v>697</v>
      </c>
      <c r="D5809" s="15">
        <v>1</v>
      </c>
      <c r="E5809" s="15" t="s">
        <v>706</v>
      </c>
      <c r="F5809" s="16">
        <v>24800</v>
      </c>
      <c r="G5809" s="2" t="s">
        <v>667</v>
      </c>
      <c r="H5809" s="17">
        <v>44515</v>
      </c>
      <c r="I5809" s="22">
        <v>44515</v>
      </c>
      <c r="J5809" s="19" t="s">
        <v>724</v>
      </c>
      <c r="K5809" s="15"/>
      <c r="L5809" s="15"/>
    </row>
    <row r="5810" spans="1:12" ht="18.75" customHeight="1" x14ac:dyDescent="0.15">
      <c r="A5810" s="1">
        <v>2021</v>
      </c>
      <c r="B5810" s="15" t="s">
        <v>700</v>
      </c>
      <c r="C5810" s="15" t="s">
        <v>697</v>
      </c>
      <c r="D5810" s="15">
        <v>1</v>
      </c>
      <c r="E5810" s="15" t="s">
        <v>706</v>
      </c>
      <c r="F5810" s="16">
        <v>24800</v>
      </c>
      <c r="G5810" s="2" t="s">
        <v>667</v>
      </c>
      <c r="H5810" s="17">
        <v>44515</v>
      </c>
      <c r="I5810" s="22">
        <v>44515</v>
      </c>
      <c r="J5810" s="19" t="s">
        <v>725</v>
      </c>
      <c r="K5810" s="15"/>
      <c r="L5810" s="15"/>
    </row>
    <row r="5811" spans="1:12" ht="18.75" customHeight="1" x14ac:dyDescent="0.15">
      <c r="A5811" s="1">
        <v>2021</v>
      </c>
      <c r="B5811" s="15" t="s">
        <v>700</v>
      </c>
      <c r="C5811" s="15" t="s">
        <v>697</v>
      </c>
      <c r="D5811" s="15">
        <v>1</v>
      </c>
      <c r="E5811" s="15" t="s">
        <v>706</v>
      </c>
      <c r="F5811" s="16">
        <v>24800</v>
      </c>
      <c r="G5811" s="2" t="s">
        <v>667</v>
      </c>
      <c r="H5811" s="17">
        <v>44515</v>
      </c>
      <c r="I5811" s="22">
        <v>44515</v>
      </c>
      <c r="J5811" s="19" t="s">
        <v>726</v>
      </c>
      <c r="K5811" s="15"/>
      <c r="L5811" s="15"/>
    </row>
    <row r="5812" spans="1:12" ht="18.75" customHeight="1" x14ac:dyDescent="0.15">
      <c r="A5812" s="1">
        <v>2021</v>
      </c>
      <c r="B5812" s="15" t="s">
        <v>704</v>
      </c>
      <c r="C5812" s="15" t="s">
        <v>698</v>
      </c>
      <c r="D5812" s="15">
        <v>1</v>
      </c>
      <c r="E5812" s="15" t="s">
        <v>706</v>
      </c>
      <c r="F5812" s="16">
        <v>61000</v>
      </c>
      <c r="G5812" s="2" t="s">
        <v>667</v>
      </c>
      <c r="H5812" s="17">
        <v>44515</v>
      </c>
      <c r="I5812" s="22">
        <v>44515</v>
      </c>
      <c r="J5812" s="19" t="s">
        <v>727</v>
      </c>
      <c r="K5812" s="15"/>
      <c r="L5812" s="15"/>
    </row>
    <row r="5813" spans="1:12" ht="18.75" customHeight="1" x14ac:dyDescent="0.15">
      <c r="A5813" s="1">
        <v>2021</v>
      </c>
      <c r="B5813" s="15" t="s">
        <v>704</v>
      </c>
      <c r="C5813" s="15" t="s">
        <v>698</v>
      </c>
      <c r="D5813" s="15">
        <v>1</v>
      </c>
      <c r="E5813" s="15" t="s">
        <v>706</v>
      </c>
      <c r="F5813" s="16">
        <v>61000</v>
      </c>
      <c r="G5813" s="2" t="s">
        <v>667</v>
      </c>
      <c r="H5813" s="17">
        <v>44515</v>
      </c>
      <c r="I5813" s="22">
        <v>44515</v>
      </c>
      <c r="J5813" s="19" t="s">
        <v>728</v>
      </c>
      <c r="K5813" s="15"/>
      <c r="L5813" s="15"/>
    </row>
    <row r="5814" spans="1:12" ht="18.75" customHeight="1" x14ac:dyDescent="0.15">
      <c r="A5814" s="1">
        <v>2021</v>
      </c>
      <c r="B5814" s="15" t="s">
        <v>704</v>
      </c>
      <c r="C5814" s="15" t="s">
        <v>698</v>
      </c>
      <c r="D5814" s="15">
        <v>1</v>
      </c>
      <c r="E5814" s="15" t="s">
        <v>706</v>
      </c>
      <c r="F5814" s="16">
        <v>61000</v>
      </c>
      <c r="G5814" s="2" t="s">
        <v>667</v>
      </c>
      <c r="H5814" s="17">
        <v>44515</v>
      </c>
      <c r="I5814" s="22">
        <v>44515</v>
      </c>
      <c r="J5814" s="19" t="s">
        <v>729</v>
      </c>
      <c r="K5814" s="15"/>
      <c r="L5814" s="15"/>
    </row>
    <row r="5815" spans="1:12" ht="18.75" customHeight="1" x14ac:dyDescent="0.15">
      <c r="A5815" s="1">
        <v>2021</v>
      </c>
      <c r="B5815" s="15" t="s">
        <v>704</v>
      </c>
      <c r="C5815" s="15" t="s">
        <v>698</v>
      </c>
      <c r="D5815" s="15">
        <v>1</v>
      </c>
      <c r="E5815" s="15" t="s">
        <v>706</v>
      </c>
      <c r="F5815" s="16">
        <v>61000</v>
      </c>
      <c r="G5815" s="2" t="s">
        <v>667</v>
      </c>
      <c r="H5815" s="17">
        <v>44515</v>
      </c>
      <c r="I5815" s="22">
        <v>44515</v>
      </c>
      <c r="J5815" s="19" t="s">
        <v>730</v>
      </c>
      <c r="K5815" s="15"/>
      <c r="L5815" s="15"/>
    </row>
    <row r="5816" spans="1:12" ht="18.75" customHeight="1" x14ac:dyDescent="0.15">
      <c r="A5816" s="1">
        <v>2021</v>
      </c>
      <c r="B5816" s="15" t="s">
        <v>704</v>
      </c>
      <c r="C5816" s="15" t="s">
        <v>698</v>
      </c>
      <c r="D5816" s="15">
        <v>1</v>
      </c>
      <c r="E5816" s="15" t="s">
        <v>706</v>
      </c>
      <c r="F5816" s="16">
        <v>61000</v>
      </c>
      <c r="G5816" s="2" t="s">
        <v>667</v>
      </c>
      <c r="H5816" s="17">
        <v>44515</v>
      </c>
      <c r="I5816" s="22">
        <v>44515</v>
      </c>
      <c r="J5816" s="19" t="s">
        <v>731</v>
      </c>
      <c r="K5816" s="15"/>
      <c r="L5816" s="15"/>
    </row>
    <row r="5817" spans="1:12" ht="18.75" customHeight="1" x14ac:dyDescent="0.15">
      <c r="A5817" s="1">
        <v>2021</v>
      </c>
      <c r="B5817" s="15" t="s">
        <v>704</v>
      </c>
      <c r="C5817" s="15" t="s">
        <v>698</v>
      </c>
      <c r="D5817" s="15">
        <v>1</v>
      </c>
      <c r="E5817" s="15" t="s">
        <v>706</v>
      </c>
      <c r="F5817" s="16">
        <v>61000</v>
      </c>
      <c r="G5817" s="2" t="s">
        <v>667</v>
      </c>
      <c r="H5817" s="17">
        <v>44515</v>
      </c>
      <c r="I5817" s="22">
        <v>44515</v>
      </c>
      <c r="J5817" s="19" t="s">
        <v>732</v>
      </c>
      <c r="K5817" s="15"/>
      <c r="L5817" s="15"/>
    </row>
    <row r="5818" spans="1:12" ht="18.75" customHeight="1" x14ac:dyDescent="0.15">
      <c r="A5818" s="1">
        <v>2021</v>
      </c>
      <c r="B5818" s="15" t="s">
        <v>699</v>
      </c>
      <c r="C5818" s="15" t="s">
        <v>692</v>
      </c>
      <c r="D5818" s="15">
        <v>1</v>
      </c>
      <c r="E5818" s="15" t="s">
        <v>705</v>
      </c>
      <c r="F5818" s="16">
        <v>595200</v>
      </c>
      <c r="G5818" s="2" t="s">
        <v>667</v>
      </c>
      <c r="H5818" s="17">
        <v>44536</v>
      </c>
      <c r="I5818" s="22">
        <v>44536</v>
      </c>
      <c r="J5818" s="19" t="s">
        <v>736</v>
      </c>
      <c r="K5818" s="15"/>
      <c r="L5818" s="15" t="s">
        <v>734</v>
      </c>
    </row>
    <row r="5819" spans="1:12" ht="18.75" customHeight="1" x14ac:dyDescent="0.15">
      <c r="A5819" s="1">
        <v>2021</v>
      </c>
      <c r="B5819" s="15" t="s">
        <v>699</v>
      </c>
      <c r="C5819" s="15" t="s">
        <v>693</v>
      </c>
      <c r="D5819" s="15">
        <v>1</v>
      </c>
      <c r="E5819" s="15" t="s">
        <v>705</v>
      </c>
      <c r="F5819" s="16">
        <v>297600</v>
      </c>
      <c r="G5819" s="2" t="s">
        <v>667</v>
      </c>
      <c r="H5819" s="17">
        <v>44536</v>
      </c>
      <c r="I5819" s="22">
        <v>44536</v>
      </c>
      <c r="J5819" s="19" t="s">
        <v>737</v>
      </c>
      <c r="K5819" s="15"/>
      <c r="L5819" s="15"/>
    </row>
    <row r="5820" spans="1:12" ht="18.75" customHeight="1" x14ac:dyDescent="0.15">
      <c r="A5820" s="1">
        <v>2021</v>
      </c>
      <c r="B5820" s="15" t="s">
        <v>701</v>
      </c>
      <c r="C5820" s="15" t="s">
        <v>695</v>
      </c>
      <c r="D5820" s="15">
        <v>1</v>
      </c>
      <c r="E5820" s="15" t="s">
        <v>684</v>
      </c>
      <c r="F5820" s="16">
        <v>65720</v>
      </c>
      <c r="G5820" s="2" t="s">
        <v>667</v>
      </c>
      <c r="H5820" s="17">
        <v>44536</v>
      </c>
      <c r="I5820" s="22">
        <v>44536</v>
      </c>
      <c r="J5820" s="19" t="s">
        <v>738</v>
      </c>
      <c r="K5820" s="15"/>
      <c r="L5820" s="15"/>
    </row>
    <row r="5821" spans="1:12" ht="18.75" customHeight="1" x14ac:dyDescent="0.15">
      <c r="A5821" s="1">
        <v>2021</v>
      </c>
      <c r="B5821" s="15" t="s">
        <v>701</v>
      </c>
      <c r="C5821" s="15" t="s">
        <v>694</v>
      </c>
      <c r="D5821" s="15">
        <v>1</v>
      </c>
      <c r="E5821" s="15" t="s">
        <v>684</v>
      </c>
      <c r="F5821" s="16">
        <v>65720</v>
      </c>
      <c r="G5821" s="2" t="s">
        <v>667</v>
      </c>
      <c r="H5821" s="17">
        <v>44536</v>
      </c>
      <c r="I5821" s="22">
        <v>44536</v>
      </c>
      <c r="J5821" s="19" t="s">
        <v>739</v>
      </c>
      <c r="K5821" s="15"/>
      <c r="L5821" s="15"/>
    </row>
    <row r="5822" spans="1:12" ht="18.75" customHeight="1" x14ac:dyDescent="0.15">
      <c r="A5822" s="1">
        <v>2021</v>
      </c>
      <c r="B5822" s="15" t="s">
        <v>701</v>
      </c>
      <c r="C5822" s="15" t="s">
        <v>694</v>
      </c>
      <c r="D5822" s="15">
        <v>1</v>
      </c>
      <c r="E5822" s="15" t="s">
        <v>684</v>
      </c>
      <c r="F5822" s="16">
        <v>65720</v>
      </c>
      <c r="G5822" s="2" t="s">
        <v>667</v>
      </c>
      <c r="H5822" s="17">
        <v>44536</v>
      </c>
      <c r="I5822" s="22">
        <v>44536</v>
      </c>
      <c r="J5822" s="19" t="s">
        <v>740</v>
      </c>
      <c r="K5822" s="15"/>
      <c r="L5822" s="15"/>
    </row>
    <row r="5823" spans="1:12" ht="18.75" customHeight="1" x14ac:dyDescent="0.15">
      <c r="A5823" s="1">
        <v>2021</v>
      </c>
      <c r="B5823" s="15" t="s">
        <v>701</v>
      </c>
      <c r="C5823" s="15" t="s">
        <v>694</v>
      </c>
      <c r="D5823" s="15">
        <v>1</v>
      </c>
      <c r="E5823" s="15" t="s">
        <v>684</v>
      </c>
      <c r="F5823" s="16">
        <v>65720</v>
      </c>
      <c r="G5823" s="2" t="s">
        <v>667</v>
      </c>
      <c r="H5823" s="17">
        <v>44536</v>
      </c>
      <c r="I5823" s="22">
        <v>44536</v>
      </c>
      <c r="J5823" s="19" t="s">
        <v>741</v>
      </c>
      <c r="K5823" s="15"/>
      <c r="L5823" s="15"/>
    </row>
    <row r="5824" spans="1:12" ht="18.75" customHeight="1" x14ac:dyDescent="0.15">
      <c r="A5824" s="1">
        <v>2021</v>
      </c>
      <c r="B5824" s="15" t="s">
        <v>701</v>
      </c>
      <c r="C5824" s="15" t="s">
        <v>694</v>
      </c>
      <c r="D5824" s="15">
        <v>1</v>
      </c>
      <c r="E5824" s="15" t="s">
        <v>684</v>
      </c>
      <c r="F5824" s="16">
        <v>65720</v>
      </c>
      <c r="G5824" s="2" t="s">
        <v>667</v>
      </c>
      <c r="H5824" s="17">
        <v>44536</v>
      </c>
      <c r="I5824" s="22">
        <v>44536</v>
      </c>
      <c r="J5824" s="19" t="s">
        <v>742</v>
      </c>
      <c r="K5824" s="15"/>
      <c r="L5824" s="15"/>
    </row>
    <row r="5825" spans="1:12" ht="18.75" customHeight="1" x14ac:dyDescent="0.15">
      <c r="A5825" s="1">
        <v>2021</v>
      </c>
      <c r="B5825" s="15" t="s">
        <v>701</v>
      </c>
      <c r="C5825" s="15" t="s">
        <v>694</v>
      </c>
      <c r="D5825" s="15">
        <v>1</v>
      </c>
      <c r="E5825" s="15" t="s">
        <v>684</v>
      </c>
      <c r="F5825" s="16">
        <v>65720</v>
      </c>
      <c r="G5825" s="2" t="s">
        <v>667</v>
      </c>
      <c r="H5825" s="17">
        <v>44536</v>
      </c>
      <c r="I5825" s="22">
        <v>44536</v>
      </c>
      <c r="J5825" s="19" t="s">
        <v>743</v>
      </c>
      <c r="K5825" s="15"/>
      <c r="L5825" s="15"/>
    </row>
    <row r="5826" spans="1:12" ht="18.75" customHeight="1" x14ac:dyDescent="0.15">
      <c r="A5826" s="1">
        <v>2021</v>
      </c>
      <c r="B5826" s="15" t="s">
        <v>700</v>
      </c>
      <c r="C5826" s="15" t="s">
        <v>696</v>
      </c>
      <c r="D5826" s="15">
        <v>1</v>
      </c>
      <c r="E5826" s="15" t="s">
        <v>706</v>
      </c>
      <c r="F5826" s="16">
        <v>65720</v>
      </c>
      <c r="G5826" s="2" t="s">
        <v>667</v>
      </c>
      <c r="H5826" s="17">
        <v>44536</v>
      </c>
      <c r="I5826" s="22">
        <v>44536</v>
      </c>
      <c r="J5826" s="19" t="s">
        <v>744</v>
      </c>
      <c r="K5826" s="15"/>
      <c r="L5826" s="15"/>
    </row>
    <row r="5827" spans="1:12" ht="18.75" customHeight="1" x14ac:dyDescent="0.15">
      <c r="A5827" s="1">
        <v>2021</v>
      </c>
      <c r="B5827" s="15" t="s">
        <v>700</v>
      </c>
      <c r="C5827" s="15" t="s">
        <v>696</v>
      </c>
      <c r="D5827" s="15">
        <v>1</v>
      </c>
      <c r="E5827" s="15" t="s">
        <v>706</v>
      </c>
      <c r="F5827" s="16">
        <v>65720</v>
      </c>
      <c r="G5827" s="2" t="s">
        <v>667</v>
      </c>
      <c r="H5827" s="17">
        <v>44536</v>
      </c>
      <c r="I5827" s="22">
        <v>44536</v>
      </c>
      <c r="J5827" s="19" t="s">
        <v>745</v>
      </c>
      <c r="K5827" s="15"/>
      <c r="L5827" s="15"/>
    </row>
    <row r="5828" spans="1:12" ht="18.75" customHeight="1" x14ac:dyDescent="0.15">
      <c r="A5828" s="1">
        <v>2021</v>
      </c>
      <c r="B5828" s="15" t="s">
        <v>700</v>
      </c>
      <c r="C5828" s="15" t="s">
        <v>696</v>
      </c>
      <c r="D5828" s="15">
        <v>1</v>
      </c>
      <c r="E5828" s="15" t="s">
        <v>706</v>
      </c>
      <c r="F5828" s="16">
        <v>65720</v>
      </c>
      <c r="G5828" s="2" t="s">
        <v>667</v>
      </c>
      <c r="H5828" s="17">
        <v>44536</v>
      </c>
      <c r="I5828" s="22">
        <v>44536</v>
      </c>
      <c r="J5828" s="19" t="s">
        <v>746</v>
      </c>
      <c r="K5828" s="15"/>
      <c r="L5828" s="15"/>
    </row>
    <row r="5829" spans="1:12" ht="18.75" customHeight="1" x14ac:dyDescent="0.15">
      <c r="A5829" s="1">
        <v>2021</v>
      </c>
      <c r="B5829" s="15" t="s">
        <v>700</v>
      </c>
      <c r="C5829" s="15" t="s">
        <v>696</v>
      </c>
      <c r="D5829" s="15">
        <v>1</v>
      </c>
      <c r="E5829" s="15" t="s">
        <v>706</v>
      </c>
      <c r="F5829" s="16">
        <v>65720</v>
      </c>
      <c r="G5829" s="2" t="s">
        <v>667</v>
      </c>
      <c r="H5829" s="17">
        <v>44536</v>
      </c>
      <c r="I5829" s="22">
        <v>44536</v>
      </c>
      <c r="J5829" s="19" t="s">
        <v>747</v>
      </c>
      <c r="K5829" s="15"/>
      <c r="L5829" s="15"/>
    </row>
    <row r="5830" spans="1:12" ht="18.75" customHeight="1" x14ac:dyDescent="0.15">
      <c r="A5830" s="1">
        <v>2021</v>
      </c>
      <c r="B5830" s="15" t="s">
        <v>700</v>
      </c>
      <c r="C5830" s="15" t="s">
        <v>696</v>
      </c>
      <c r="D5830" s="15">
        <v>1</v>
      </c>
      <c r="E5830" s="15" t="s">
        <v>706</v>
      </c>
      <c r="F5830" s="16">
        <v>65720</v>
      </c>
      <c r="G5830" s="2" t="s">
        <v>667</v>
      </c>
      <c r="H5830" s="17">
        <v>44536</v>
      </c>
      <c r="I5830" s="22">
        <v>44536</v>
      </c>
      <c r="J5830" s="19" t="s">
        <v>748</v>
      </c>
      <c r="K5830" s="15"/>
      <c r="L5830" s="15"/>
    </row>
    <row r="5831" spans="1:12" ht="18.75" customHeight="1" x14ac:dyDescent="0.15">
      <c r="A5831" s="1">
        <v>2021</v>
      </c>
      <c r="B5831" s="15" t="s">
        <v>700</v>
      </c>
      <c r="C5831" s="15" t="s">
        <v>696</v>
      </c>
      <c r="D5831" s="15">
        <v>1</v>
      </c>
      <c r="E5831" s="15" t="s">
        <v>706</v>
      </c>
      <c r="F5831" s="16">
        <v>65720</v>
      </c>
      <c r="G5831" s="2" t="s">
        <v>667</v>
      </c>
      <c r="H5831" s="17">
        <v>44536</v>
      </c>
      <c r="I5831" s="22">
        <v>44536</v>
      </c>
      <c r="J5831" s="19" t="s">
        <v>749</v>
      </c>
      <c r="K5831" s="15"/>
      <c r="L5831" s="15"/>
    </row>
    <row r="5832" spans="1:12" ht="18.75" customHeight="1" x14ac:dyDescent="0.15">
      <c r="A5832" s="1">
        <v>2021</v>
      </c>
      <c r="B5832" s="15" t="s">
        <v>700</v>
      </c>
      <c r="C5832" s="15" t="s">
        <v>697</v>
      </c>
      <c r="D5832" s="15">
        <v>1</v>
      </c>
      <c r="E5832" s="15" t="s">
        <v>706</v>
      </c>
      <c r="F5832" s="16">
        <v>24800</v>
      </c>
      <c r="G5832" s="2" t="s">
        <v>667</v>
      </c>
      <c r="H5832" s="17">
        <v>44536</v>
      </c>
      <c r="I5832" s="22">
        <v>44536</v>
      </c>
      <c r="J5832" s="19" t="s">
        <v>750</v>
      </c>
      <c r="K5832" s="15"/>
      <c r="L5832" s="15"/>
    </row>
    <row r="5833" spans="1:12" ht="18.75" customHeight="1" x14ac:dyDescent="0.15">
      <c r="A5833" s="1">
        <v>2021</v>
      </c>
      <c r="B5833" s="15" t="s">
        <v>700</v>
      </c>
      <c r="C5833" s="15" t="s">
        <v>697</v>
      </c>
      <c r="D5833" s="15">
        <v>1</v>
      </c>
      <c r="E5833" s="15" t="s">
        <v>706</v>
      </c>
      <c r="F5833" s="16">
        <v>24800</v>
      </c>
      <c r="G5833" s="2" t="s">
        <v>667</v>
      </c>
      <c r="H5833" s="17">
        <v>44536</v>
      </c>
      <c r="I5833" s="22">
        <v>44536</v>
      </c>
      <c r="J5833" s="19" t="s">
        <v>751</v>
      </c>
      <c r="K5833" s="15"/>
      <c r="L5833" s="15"/>
    </row>
    <row r="5834" spans="1:12" ht="18.75" customHeight="1" x14ac:dyDescent="0.15">
      <c r="A5834" s="1">
        <v>2021</v>
      </c>
      <c r="B5834" s="15" t="s">
        <v>700</v>
      </c>
      <c r="C5834" s="15" t="s">
        <v>697</v>
      </c>
      <c r="D5834" s="15">
        <v>1</v>
      </c>
      <c r="E5834" s="15" t="s">
        <v>706</v>
      </c>
      <c r="F5834" s="16">
        <v>24800</v>
      </c>
      <c r="G5834" s="2" t="s">
        <v>667</v>
      </c>
      <c r="H5834" s="17">
        <v>44536</v>
      </c>
      <c r="I5834" s="22">
        <v>44536</v>
      </c>
      <c r="J5834" s="19" t="s">
        <v>752</v>
      </c>
      <c r="K5834" s="15"/>
      <c r="L5834" s="15"/>
    </row>
    <row r="5835" spans="1:12" ht="18.75" customHeight="1" x14ac:dyDescent="0.15">
      <c r="A5835" s="1">
        <v>2021</v>
      </c>
      <c r="B5835" s="15" t="s">
        <v>700</v>
      </c>
      <c r="C5835" s="15" t="s">
        <v>697</v>
      </c>
      <c r="D5835" s="15">
        <v>1</v>
      </c>
      <c r="E5835" s="15" t="s">
        <v>706</v>
      </c>
      <c r="F5835" s="16">
        <v>24800</v>
      </c>
      <c r="G5835" s="2" t="s">
        <v>667</v>
      </c>
      <c r="H5835" s="17">
        <v>44536</v>
      </c>
      <c r="I5835" s="22">
        <v>44536</v>
      </c>
      <c r="J5835" s="19" t="s">
        <v>753</v>
      </c>
      <c r="K5835" s="15"/>
      <c r="L5835" s="15"/>
    </row>
    <row r="5836" spans="1:12" ht="18.75" customHeight="1" x14ac:dyDescent="0.15">
      <c r="A5836" s="1">
        <v>2021</v>
      </c>
      <c r="B5836" s="15" t="s">
        <v>700</v>
      </c>
      <c r="C5836" s="15" t="s">
        <v>697</v>
      </c>
      <c r="D5836" s="15">
        <v>1</v>
      </c>
      <c r="E5836" s="15" t="s">
        <v>706</v>
      </c>
      <c r="F5836" s="16">
        <v>24800</v>
      </c>
      <c r="G5836" s="2" t="s">
        <v>667</v>
      </c>
      <c r="H5836" s="17">
        <v>44536</v>
      </c>
      <c r="I5836" s="22">
        <v>44536</v>
      </c>
      <c r="J5836" s="19" t="s">
        <v>754</v>
      </c>
      <c r="K5836" s="15"/>
      <c r="L5836" s="15"/>
    </row>
    <row r="5837" spans="1:12" ht="18.75" customHeight="1" x14ac:dyDescent="0.15">
      <c r="A5837" s="1">
        <v>2021</v>
      </c>
      <c r="B5837" s="15" t="s">
        <v>700</v>
      </c>
      <c r="C5837" s="15" t="s">
        <v>697</v>
      </c>
      <c r="D5837" s="15">
        <v>1</v>
      </c>
      <c r="E5837" s="15" t="s">
        <v>706</v>
      </c>
      <c r="F5837" s="16">
        <v>24800</v>
      </c>
      <c r="G5837" s="2" t="s">
        <v>667</v>
      </c>
      <c r="H5837" s="17">
        <v>44536</v>
      </c>
      <c r="I5837" s="22">
        <v>44536</v>
      </c>
      <c r="J5837" s="19" t="s">
        <v>755</v>
      </c>
      <c r="K5837" s="15"/>
      <c r="L5837" s="15"/>
    </row>
    <row r="5838" spans="1:12" ht="18.75" customHeight="1" x14ac:dyDescent="0.15">
      <c r="A5838" s="1">
        <v>2021</v>
      </c>
      <c r="B5838" s="15" t="s">
        <v>704</v>
      </c>
      <c r="C5838" s="15" t="s">
        <v>698</v>
      </c>
      <c r="D5838" s="15">
        <v>1</v>
      </c>
      <c r="E5838" s="15" t="s">
        <v>706</v>
      </c>
      <c r="F5838" s="16">
        <v>61000</v>
      </c>
      <c r="G5838" s="2" t="s">
        <v>667</v>
      </c>
      <c r="H5838" s="17">
        <v>44536</v>
      </c>
      <c r="I5838" s="22">
        <v>44536</v>
      </c>
      <c r="J5838" s="19" t="s">
        <v>756</v>
      </c>
      <c r="K5838" s="15"/>
      <c r="L5838" s="15"/>
    </row>
    <row r="5839" spans="1:12" ht="18.75" customHeight="1" x14ac:dyDescent="0.15">
      <c r="A5839" s="1">
        <v>2021</v>
      </c>
      <c r="B5839" s="15" t="s">
        <v>704</v>
      </c>
      <c r="C5839" s="15" t="s">
        <v>698</v>
      </c>
      <c r="D5839" s="15">
        <v>1</v>
      </c>
      <c r="E5839" s="15" t="s">
        <v>706</v>
      </c>
      <c r="F5839" s="16">
        <v>61000</v>
      </c>
      <c r="G5839" s="2" t="s">
        <v>667</v>
      </c>
      <c r="H5839" s="17">
        <v>44536</v>
      </c>
      <c r="I5839" s="22">
        <v>44536</v>
      </c>
      <c r="J5839" s="19" t="s">
        <v>757</v>
      </c>
      <c r="K5839" s="15"/>
      <c r="L5839" s="15"/>
    </row>
    <row r="5840" spans="1:12" ht="18.75" customHeight="1" x14ac:dyDescent="0.15">
      <c r="A5840" s="1">
        <v>2021</v>
      </c>
      <c r="B5840" s="15" t="s">
        <v>704</v>
      </c>
      <c r="C5840" s="15" t="s">
        <v>698</v>
      </c>
      <c r="D5840" s="15">
        <v>1</v>
      </c>
      <c r="E5840" s="15" t="s">
        <v>706</v>
      </c>
      <c r="F5840" s="16">
        <v>61000</v>
      </c>
      <c r="G5840" s="2" t="s">
        <v>667</v>
      </c>
      <c r="H5840" s="17">
        <v>44536</v>
      </c>
      <c r="I5840" s="22">
        <v>44536</v>
      </c>
      <c r="J5840" s="19" t="s">
        <v>758</v>
      </c>
      <c r="K5840" s="15"/>
      <c r="L5840" s="15"/>
    </row>
    <row r="5841" spans="1:12" ht="18.75" customHeight="1" x14ac:dyDescent="0.15">
      <c r="A5841" s="1">
        <v>2021</v>
      </c>
      <c r="B5841" s="15" t="s">
        <v>704</v>
      </c>
      <c r="C5841" s="15" t="s">
        <v>698</v>
      </c>
      <c r="D5841" s="15">
        <v>1</v>
      </c>
      <c r="E5841" s="15" t="s">
        <v>706</v>
      </c>
      <c r="F5841" s="16">
        <v>61000</v>
      </c>
      <c r="G5841" s="2" t="s">
        <v>667</v>
      </c>
      <c r="H5841" s="17">
        <v>44536</v>
      </c>
      <c r="I5841" s="22">
        <v>44536</v>
      </c>
      <c r="J5841" s="19" t="s">
        <v>759</v>
      </c>
      <c r="K5841" s="15"/>
      <c r="L5841" s="15"/>
    </row>
    <row r="5842" spans="1:12" ht="18.75" customHeight="1" x14ac:dyDescent="0.15">
      <c r="A5842" s="1">
        <v>2021</v>
      </c>
      <c r="B5842" s="15" t="s">
        <v>704</v>
      </c>
      <c r="C5842" s="15" t="s">
        <v>698</v>
      </c>
      <c r="D5842" s="15">
        <v>1</v>
      </c>
      <c r="E5842" s="15" t="s">
        <v>706</v>
      </c>
      <c r="F5842" s="16">
        <v>61000</v>
      </c>
      <c r="G5842" s="2" t="s">
        <v>667</v>
      </c>
      <c r="H5842" s="17">
        <v>44536</v>
      </c>
      <c r="I5842" s="22">
        <v>44536</v>
      </c>
      <c r="J5842" s="19" t="s">
        <v>760</v>
      </c>
      <c r="K5842" s="15"/>
      <c r="L5842" s="15"/>
    </row>
    <row r="5843" spans="1:12" ht="18.75" customHeight="1" x14ac:dyDescent="0.15">
      <c r="A5843" s="1">
        <v>2021</v>
      </c>
      <c r="B5843" s="15" t="s">
        <v>704</v>
      </c>
      <c r="C5843" s="15" t="s">
        <v>698</v>
      </c>
      <c r="D5843" s="15">
        <v>1</v>
      </c>
      <c r="E5843" s="15" t="s">
        <v>706</v>
      </c>
      <c r="F5843" s="16">
        <v>61000</v>
      </c>
      <c r="G5843" s="2" t="s">
        <v>667</v>
      </c>
      <c r="H5843" s="17">
        <v>44536</v>
      </c>
      <c r="I5843" s="22">
        <v>44536</v>
      </c>
      <c r="J5843" s="19" t="s">
        <v>761</v>
      </c>
      <c r="K5843" s="15"/>
      <c r="L5843" s="15"/>
    </row>
    <row r="5844" spans="1:12" ht="18.75" customHeight="1" x14ac:dyDescent="0.15">
      <c r="A5844" s="1">
        <v>2021</v>
      </c>
      <c r="B5844" s="15" t="s">
        <v>699</v>
      </c>
      <c r="C5844" s="15" t="s">
        <v>692</v>
      </c>
      <c r="D5844" s="15">
        <v>1</v>
      </c>
      <c r="E5844" s="15" t="s">
        <v>705</v>
      </c>
      <c r="F5844" s="16">
        <v>595200</v>
      </c>
      <c r="G5844" s="2" t="s">
        <v>667</v>
      </c>
      <c r="H5844" s="17">
        <v>44557</v>
      </c>
      <c r="I5844" s="22">
        <v>44557</v>
      </c>
      <c r="J5844" s="19" t="s">
        <v>762</v>
      </c>
      <c r="K5844" s="15"/>
      <c r="L5844" s="15" t="s">
        <v>735</v>
      </c>
    </row>
    <row r="5845" spans="1:12" ht="18.75" customHeight="1" x14ac:dyDescent="0.15">
      <c r="A5845" s="1">
        <v>2021</v>
      </c>
      <c r="B5845" s="15" t="s">
        <v>699</v>
      </c>
      <c r="C5845" s="15" t="s">
        <v>693</v>
      </c>
      <c r="D5845" s="15">
        <v>1</v>
      </c>
      <c r="E5845" s="15" t="s">
        <v>705</v>
      </c>
      <c r="F5845" s="16">
        <v>297600</v>
      </c>
      <c r="G5845" s="2" t="s">
        <v>667</v>
      </c>
      <c r="H5845" s="17">
        <v>44557</v>
      </c>
      <c r="I5845" s="22">
        <v>44557</v>
      </c>
      <c r="J5845" s="19" t="s">
        <v>763</v>
      </c>
      <c r="K5845" s="15"/>
      <c r="L5845" s="15"/>
    </row>
    <row r="5846" spans="1:12" ht="18.75" customHeight="1" x14ac:dyDescent="0.15">
      <c r="A5846" s="1">
        <v>2021</v>
      </c>
      <c r="B5846" s="15" t="s">
        <v>701</v>
      </c>
      <c r="C5846" s="15" t="s">
        <v>695</v>
      </c>
      <c r="D5846" s="15">
        <v>1</v>
      </c>
      <c r="E5846" s="15" t="s">
        <v>684</v>
      </c>
      <c r="F5846" s="16">
        <v>65720</v>
      </c>
      <c r="G5846" s="2" t="s">
        <v>667</v>
      </c>
      <c r="H5846" s="17">
        <v>44557</v>
      </c>
      <c r="I5846" s="22">
        <v>44557</v>
      </c>
      <c r="J5846" s="19" t="s">
        <v>764</v>
      </c>
      <c r="K5846" s="15"/>
      <c r="L5846" s="15"/>
    </row>
    <row r="5847" spans="1:12" ht="18.75" customHeight="1" x14ac:dyDescent="0.15">
      <c r="A5847" s="1">
        <v>2021</v>
      </c>
      <c r="B5847" s="15" t="s">
        <v>701</v>
      </c>
      <c r="C5847" s="15" t="s">
        <v>694</v>
      </c>
      <c r="D5847" s="15">
        <v>1</v>
      </c>
      <c r="E5847" s="15" t="s">
        <v>684</v>
      </c>
      <c r="F5847" s="16">
        <v>65720</v>
      </c>
      <c r="G5847" s="2" t="s">
        <v>667</v>
      </c>
      <c r="H5847" s="17">
        <v>44557</v>
      </c>
      <c r="I5847" s="22">
        <v>44557</v>
      </c>
      <c r="J5847" s="19" t="s">
        <v>765</v>
      </c>
      <c r="K5847" s="15"/>
      <c r="L5847" s="15"/>
    </row>
    <row r="5848" spans="1:12" ht="18.75" customHeight="1" x14ac:dyDescent="0.15">
      <c r="A5848" s="1">
        <v>2021</v>
      </c>
      <c r="B5848" s="15" t="s">
        <v>701</v>
      </c>
      <c r="C5848" s="15" t="s">
        <v>694</v>
      </c>
      <c r="D5848" s="15">
        <v>1</v>
      </c>
      <c r="E5848" s="15" t="s">
        <v>684</v>
      </c>
      <c r="F5848" s="16">
        <v>65720</v>
      </c>
      <c r="G5848" s="2" t="s">
        <v>667</v>
      </c>
      <c r="H5848" s="17">
        <v>44557</v>
      </c>
      <c r="I5848" s="22">
        <v>44557</v>
      </c>
      <c r="J5848" s="19" t="s">
        <v>766</v>
      </c>
      <c r="K5848" s="15"/>
      <c r="L5848" s="15"/>
    </row>
    <row r="5849" spans="1:12" ht="18.75" customHeight="1" x14ac:dyDescent="0.15">
      <c r="A5849" s="1">
        <v>2021</v>
      </c>
      <c r="B5849" s="15" t="s">
        <v>701</v>
      </c>
      <c r="C5849" s="15" t="s">
        <v>694</v>
      </c>
      <c r="D5849" s="15">
        <v>1</v>
      </c>
      <c r="E5849" s="15" t="s">
        <v>684</v>
      </c>
      <c r="F5849" s="16">
        <v>65720</v>
      </c>
      <c r="G5849" s="2" t="s">
        <v>667</v>
      </c>
      <c r="H5849" s="17">
        <v>44557</v>
      </c>
      <c r="I5849" s="22">
        <v>44557</v>
      </c>
      <c r="J5849" s="19" t="s">
        <v>767</v>
      </c>
      <c r="K5849" s="15"/>
      <c r="L5849" s="15"/>
    </row>
    <row r="5850" spans="1:12" ht="18.75" customHeight="1" x14ac:dyDescent="0.15">
      <c r="A5850" s="1">
        <v>2021</v>
      </c>
      <c r="B5850" s="15" t="s">
        <v>701</v>
      </c>
      <c r="C5850" s="15" t="s">
        <v>694</v>
      </c>
      <c r="D5850" s="15">
        <v>1</v>
      </c>
      <c r="E5850" s="15" t="s">
        <v>684</v>
      </c>
      <c r="F5850" s="16">
        <v>65720</v>
      </c>
      <c r="G5850" s="2" t="s">
        <v>667</v>
      </c>
      <c r="H5850" s="17">
        <v>44557</v>
      </c>
      <c r="I5850" s="22">
        <v>44557</v>
      </c>
      <c r="J5850" s="19" t="s">
        <v>768</v>
      </c>
      <c r="K5850" s="15"/>
      <c r="L5850" s="15"/>
    </row>
    <row r="5851" spans="1:12" ht="18.75" customHeight="1" x14ac:dyDescent="0.15">
      <c r="A5851" s="1">
        <v>2021</v>
      </c>
      <c r="B5851" s="15" t="s">
        <v>701</v>
      </c>
      <c r="C5851" s="15" t="s">
        <v>694</v>
      </c>
      <c r="D5851" s="15">
        <v>1</v>
      </c>
      <c r="E5851" s="15" t="s">
        <v>684</v>
      </c>
      <c r="F5851" s="16">
        <v>65720</v>
      </c>
      <c r="G5851" s="2" t="s">
        <v>667</v>
      </c>
      <c r="H5851" s="17">
        <v>44557</v>
      </c>
      <c r="I5851" s="22">
        <v>44557</v>
      </c>
      <c r="J5851" s="19" t="s">
        <v>769</v>
      </c>
      <c r="K5851" s="15"/>
      <c r="L5851" s="15"/>
    </row>
    <row r="5852" spans="1:12" ht="18.75" customHeight="1" x14ac:dyDescent="0.15">
      <c r="A5852" s="1">
        <v>2021</v>
      </c>
      <c r="B5852" s="15" t="s">
        <v>700</v>
      </c>
      <c r="C5852" s="15" t="s">
        <v>696</v>
      </c>
      <c r="D5852" s="15">
        <v>1</v>
      </c>
      <c r="E5852" s="15" t="s">
        <v>706</v>
      </c>
      <c r="F5852" s="16">
        <v>65720</v>
      </c>
      <c r="G5852" s="2" t="s">
        <v>667</v>
      </c>
      <c r="H5852" s="17">
        <v>44557</v>
      </c>
      <c r="I5852" s="22">
        <v>44557</v>
      </c>
      <c r="J5852" s="19" t="s">
        <v>770</v>
      </c>
      <c r="K5852" s="15"/>
      <c r="L5852" s="15"/>
    </row>
    <row r="5853" spans="1:12" ht="18.75" customHeight="1" x14ac:dyDescent="0.15">
      <c r="A5853" s="1">
        <v>2021</v>
      </c>
      <c r="B5853" s="15" t="s">
        <v>700</v>
      </c>
      <c r="C5853" s="15" t="s">
        <v>696</v>
      </c>
      <c r="D5853" s="15">
        <v>1</v>
      </c>
      <c r="E5853" s="15" t="s">
        <v>706</v>
      </c>
      <c r="F5853" s="16">
        <v>65720</v>
      </c>
      <c r="G5853" s="2" t="s">
        <v>667</v>
      </c>
      <c r="H5853" s="17">
        <v>44557</v>
      </c>
      <c r="I5853" s="22">
        <v>44557</v>
      </c>
      <c r="J5853" s="19" t="s">
        <v>771</v>
      </c>
      <c r="K5853" s="15"/>
      <c r="L5853" s="15"/>
    </row>
    <row r="5854" spans="1:12" ht="18.75" customHeight="1" x14ac:dyDescent="0.15">
      <c r="A5854" s="1">
        <v>2021</v>
      </c>
      <c r="B5854" s="15" t="s">
        <v>700</v>
      </c>
      <c r="C5854" s="15" t="s">
        <v>696</v>
      </c>
      <c r="D5854" s="15">
        <v>1</v>
      </c>
      <c r="E5854" s="15" t="s">
        <v>706</v>
      </c>
      <c r="F5854" s="16">
        <v>65720</v>
      </c>
      <c r="G5854" s="2" t="s">
        <v>667</v>
      </c>
      <c r="H5854" s="17">
        <v>44557</v>
      </c>
      <c r="I5854" s="22">
        <v>44557</v>
      </c>
      <c r="J5854" s="19" t="s">
        <v>772</v>
      </c>
      <c r="K5854" s="15"/>
      <c r="L5854" s="15"/>
    </row>
    <row r="5855" spans="1:12" ht="18.75" customHeight="1" x14ac:dyDescent="0.15">
      <c r="A5855" s="1">
        <v>2021</v>
      </c>
      <c r="B5855" s="15" t="s">
        <v>700</v>
      </c>
      <c r="C5855" s="15" t="s">
        <v>696</v>
      </c>
      <c r="D5855" s="15">
        <v>1</v>
      </c>
      <c r="E5855" s="15" t="s">
        <v>706</v>
      </c>
      <c r="F5855" s="16">
        <v>65720</v>
      </c>
      <c r="G5855" s="2" t="s">
        <v>667</v>
      </c>
      <c r="H5855" s="17">
        <v>44557</v>
      </c>
      <c r="I5855" s="22">
        <v>44557</v>
      </c>
      <c r="J5855" s="19" t="s">
        <v>773</v>
      </c>
      <c r="K5855" s="15"/>
      <c r="L5855" s="15"/>
    </row>
    <row r="5856" spans="1:12" ht="18.75" customHeight="1" x14ac:dyDescent="0.15">
      <c r="A5856" s="1">
        <v>2021</v>
      </c>
      <c r="B5856" s="15" t="s">
        <v>700</v>
      </c>
      <c r="C5856" s="15" t="s">
        <v>696</v>
      </c>
      <c r="D5856" s="15">
        <v>1</v>
      </c>
      <c r="E5856" s="15" t="s">
        <v>706</v>
      </c>
      <c r="F5856" s="16">
        <v>65720</v>
      </c>
      <c r="G5856" s="2" t="s">
        <v>667</v>
      </c>
      <c r="H5856" s="17">
        <v>44557</v>
      </c>
      <c r="I5856" s="22">
        <v>44557</v>
      </c>
      <c r="J5856" s="19" t="s">
        <v>774</v>
      </c>
      <c r="K5856" s="15"/>
      <c r="L5856" s="15"/>
    </row>
    <row r="5857" spans="1:12" ht="18.75" customHeight="1" x14ac:dyDescent="0.15">
      <c r="A5857" s="1">
        <v>2021</v>
      </c>
      <c r="B5857" s="15" t="s">
        <v>700</v>
      </c>
      <c r="C5857" s="15" t="s">
        <v>696</v>
      </c>
      <c r="D5857" s="15">
        <v>1</v>
      </c>
      <c r="E5857" s="15" t="s">
        <v>706</v>
      </c>
      <c r="F5857" s="16">
        <v>65720</v>
      </c>
      <c r="G5857" s="2" t="s">
        <v>667</v>
      </c>
      <c r="H5857" s="17">
        <v>44557</v>
      </c>
      <c r="I5857" s="22">
        <v>44557</v>
      </c>
      <c r="J5857" s="19" t="s">
        <v>775</v>
      </c>
      <c r="K5857" s="15"/>
      <c r="L5857" s="15"/>
    </row>
    <row r="5858" spans="1:12" ht="18.75" customHeight="1" x14ac:dyDescent="0.15">
      <c r="A5858" s="1">
        <v>2021</v>
      </c>
      <c r="B5858" s="15" t="s">
        <v>700</v>
      </c>
      <c r="C5858" s="15" t="s">
        <v>697</v>
      </c>
      <c r="D5858" s="15">
        <v>1</v>
      </c>
      <c r="E5858" s="15" t="s">
        <v>706</v>
      </c>
      <c r="F5858" s="16">
        <v>24800</v>
      </c>
      <c r="G5858" s="2" t="s">
        <v>667</v>
      </c>
      <c r="H5858" s="17">
        <v>44557</v>
      </c>
      <c r="I5858" s="22">
        <v>44557</v>
      </c>
      <c r="J5858" s="19" t="s">
        <v>776</v>
      </c>
      <c r="K5858" s="15"/>
      <c r="L5858" s="15"/>
    </row>
    <row r="5859" spans="1:12" ht="18.75" customHeight="1" x14ac:dyDescent="0.15">
      <c r="A5859" s="1">
        <v>2021</v>
      </c>
      <c r="B5859" s="15" t="s">
        <v>700</v>
      </c>
      <c r="C5859" s="15" t="s">
        <v>697</v>
      </c>
      <c r="D5859" s="15">
        <v>1</v>
      </c>
      <c r="E5859" s="15" t="s">
        <v>706</v>
      </c>
      <c r="F5859" s="16">
        <v>24800</v>
      </c>
      <c r="G5859" s="2" t="s">
        <v>667</v>
      </c>
      <c r="H5859" s="17">
        <v>44557</v>
      </c>
      <c r="I5859" s="22">
        <v>44557</v>
      </c>
      <c r="J5859" s="19" t="s">
        <v>777</v>
      </c>
      <c r="K5859" s="15"/>
      <c r="L5859" s="15"/>
    </row>
    <row r="5860" spans="1:12" ht="18.75" customHeight="1" x14ac:dyDescent="0.15">
      <c r="A5860" s="1">
        <v>2021</v>
      </c>
      <c r="B5860" s="15" t="s">
        <v>700</v>
      </c>
      <c r="C5860" s="15" t="s">
        <v>697</v>
      </c>
      <c r="D5860" s="15">
        <v>1</v>
      </c>
      <c r="E5860" s="15" t="s">
        <v>706</v>
      </c>
      <c r="F5860" s="16">
        <v>24800</v>
      </c>
      <c r="G5860" s="2" t="s">
        <v>667</v>
      </c>
      <c r="H5860" s="17">
        <v>44557</v>
      </c>
      <c r="I5860" s="22">
        <v>44557</v>
      </c>
      <c r="J5860" s="19" t="s">
        <v>778</v>
      </c>
      <c r="K5860" s="15"/>
      <c r="L5860" s="15"/>
    </row>
    <row r="5861" spans="1:12" ht="18.75" customHeight="1" x14ac:dyDescent="0.15">
      <c r="A5861" s="1">
        <v>2021</v>
      </c>
      <c r="B5861" s="15" t="s">
        <v>700</v>
      </c>
      <c r="C5861" s="15" t="s">
        <v>697</v>
      </c>
      <c r="D5861" s="15">
        <v>1</v>
      </c>
      <c r="E5861" s="15" t="s">
        <v>706</v>
      </c>
      <c r="F5861" s="16">
        <v>24800</v>
      </c>
      <c r="G5861" s="2" t="s">
        <v>667</v>
      </c>
      <c r="H5861" s="17">
        <v>44557</v>
      </c>
      <c r="I5861" s="22">
        <v>44557</v>
      </c>
      <c r="J5861" s="19" t="s">
        <v>779</v>
      </c>
      <c r="K5861" s="15"/>
      <c r="L5861" s="15"/>
    </row>
    <row r="5862" spans="1:12" ht="18.75" customHeight="1" x14ac:dyDescent="0.15">
      <c r="A5862" s="1">
        <v>2021</v>
      </c>
      <c r="B5862" s="15" t="s">
        <v>700</v>
      </c>
      <c r="C5862" s="15" t="s">
        <v>697</v>
      </c>
      <c r="D5862" s="15">
        <v>1</v>
      </c>
      <c r="E5862" s="15" t="s">
        <v>706</v>
      </c>
      <c r="F5862" s="16">
        <v>24800</v>
      </c>
      <c r="G5862" s="2" t="s">
        <v>667</v>
      </c>
      <c r="H5862" s="17">
        <v>44557</v>
      </c>
      <c r="I5862" s="22">
        <v>44557</v>
      </c>
      <c r="J5862" s="19" t="s">
        <v>780</v>
      </c>
      <c r="K5862" s="15"/>
      <c r="L5862" s="15"/>
    </row>
    <row r="5863" spans="1:12" ht="18.75" customHeight="1" x14ac:dyDescent="0.15">
      <c r="A5863" s="1">
        <v>2021</v>
      </c>
      <c r="B5863" s="15" t="s">
        <v>700</v>
      </c>
      <c r="C5863" s="15" t="s">
        <v>697</v>
      </c>
      <c r="D5863" s="15">
        <v>1</v>
      </c>
      <c r="E5863" s="15" t="s">
        <v>706</v>
      </c>
      <c r="F5863" s="16">
        <v>24800</v>
      </c>
      <c r="G5863" s="2" t="s">
        <v>667</v>
      </c>
      <c r="H5863" s="17">
        <v>44557</v>
      </c>
      <c r="I5863" s="22">
        <v>44557</v>
      </c>
      <c r="J5863" s="19" t="s">
        <v>781</v>
      </c>
      <c r="K5863" s="15"/>
      <c r="L5863" s="15"/>
    </row>
    <row r="5864" spans="1:12" ht="18.75" customHeight="1" x14ac:dyDescent="0.15">
      <c r="A5864" s="1">
        <v>2021</v>
      </c>
      <c r="B5864" s="15" t="s">
        <v>704</v>
      </c>
      <c r="C5864" s="15" t="s">
        <v>698</v>
      </c>
      <c r="D5864" s="15">
        <v>1</v>
      </c>
      <c r="E5864" s="15" t="s">
        <v>706</v>
      </c>
      <c r="F5864" s="16">
        <v>61000</v>
      </c>
      <c r="G5864" s="2" t="s">
        <v>667</v>
      </c>
      <c r="H5864" s="17">
        <v>44557</v>
      </c>
      <c r="I5864" s="22">
        <v>44557</v>
      </c>
      <c r="J5864" s="19" t="s">
        <v>782</v>
      </c>
      <c r="K5864" s="15"/>
      <c r="L5864" s="15"/>
    </row>
    <row r="5865" spans="1:12" ht="18.75" customHeight="1" x14ac:dyDescent="0.15">
      <c r="A5865" s="1">
        <v>2021</v>
      </c>
      <c r="B5865" s="15" t="s">
        <v>704</v>
      </c>
      <c r="C5865" s="15" t="s">
        <v>698</v>
      </c>
      <c r="D5865" s="15">
        <v>1</v>
      </c>
      <c r="E5865" s="15" t="s">
        <v>706</v>
      </c>
      <c r="F5865" s="16">
        <v>61000</v>
      </c>
      <c r="G5865" s="2" t="s">
        <v>667</v>
      </c>
      <c r="H5865" s="17">
        <v>44557</v>
      </c>
      <c r="I5865" s="22">
        <v>44557</v>
      </c>
      <c r="J5865" s="19" t="s">
        <v>783</v>
      </c>
      <c r="K5865" s="15"/>
      <c r="L5865" s="15"/>
    </row>
    <row r="5866" spans="1:12" ht="18.75" customHeight="1" x14ac:dyDescent="0.15">
      <c r="A5866" s="1">
        <v>2021</v>
      </c>
      <c r="B5866" s="15" t="s">
        <v>704</v>
      </c>
      <c r="C5866" s="15" t="s">
        <v>698</v>
      </c>
      <c r="D5866" s="15">
        <v>1</v>
      </c>
      <c r="E5866" s="15" t="s">
        <v>706</v>
      </c>
      <c r="F5866" s="16">
        <v>61000</v>
      </c>
      <c r="G5866" s="2" t="s">
        <v>667</v>
      </c>
      <c r="H5866" s="17">
        <v>44557</v>
      </c>
      <c r="I5866" s="22">
        <v>44557</v>
      </c>
      <c r="J5866" s="19" t="s">
        <v>784</v>
      </c>
      <c r="K5866" s="15"/>
      <c r="L5866" s="15"/>
    </row>
    <row r="5867" spans="1:12" ht="18.75" customHeight="1" x14ac:dyDescent="0.15">
      <c r="A5867" s="1">
        <v>2021</v>
      </c>
      <c r="B5867" s="15" t="s">
        <v>704</v>
      </c>
      <c r="C5867" s="15" t="s">
        <v>698</v>
      </c>
      <c r="D5867" s="15">
        <v>1</v>
      </c>
      <c r="E5867" s="15" t="s">
        <v>706</v>
      </c>
      <c r="F5867" s="16">
        <v>61000</v>
      </c>
      <c r="G5867" s="2" t="s">
        <v>667</v>
      </c>
      <c r="H5867" s="17">
        <v>44557</v>
      </c>
      <c r="I5867" s="22">
        <v>44557</v>
      </c>
      <c r="J5867" s="19" t="s">
        <v>785</v>
      </c>
      <c r="K5867" s="15"/>
      <c r="L5867" s="15"/>
    </row>
    <row r="5868" spans="1:12" ht="18.75" customHeight="1" x14ac:dyDescent="0.15">
      <c r="A5868" s="1">
        <v>2021</v>
      </c>
      <c r="B5868" s="15" t="s">
        <v>704</v>
      </c>
      <c r="C5868" s="15" t="s">
        <v>698</v>
      </c>
      <c r="D5868" s="15">
        <v>1</v>
      </c>
      <c r="E5868" s="15" t="s">
        <v>706</v>
      </c>
      <c r="F5868" s="16">
        <v>61000</v>
      </c>
      <c r="G5868" s="2" t="s">
        <v>667</v>
      </c>
      <c r="H5868" s="17">
        <v>44557</v>
      </c>
      <c r="I5868" s="22">
        <v>44557</v>
      </c>
      <c r="J5868" s="19" t="s">
        <v>786</v>
      </c>
      <c r="K5868" s="15"/>
      <c r="L5868" s="15"/>
    </row>
    <row r="5869" spans="1:12" ht="18.75" customHeight="1" x14ac:dyDescent="0.15">
      <c r="A5869" s="1">
        <v>2021</v>
      </c>
      <c r="B5869" s="15" t="s">
        <v>704</v>
      </c>
      <c r="C5869" s="15" t="s">
        <v>698</v>
      </c>
      <c r="D5869" s="15">
        <v>1</v>
      </c>
      <c r="E5869" s="15" t="s">
        <v>706</v>
      </c>
      <c r="F5869" s="16">
        <v>61000</v>
      </c>
      <c r="G5869" s="2" t="s">
        <v>667</v>
      </c>
      <c r="H5869" s="17">
        <v>44557</v>
      </c>
      <c r="I5869" s="22">
        <v>44557</v>
      </c>
      <c r="J5869" s="19" t="s">
        <v>787</v>
      </c>
      <c r="K5869" s="15"/>
      <c r="L5869" s="15"/>
    </row>
    <row r="5870" spans="1:12" ht="18.75" customHeight="1" x14ac:dyDescent="0.15">
      <c r="A5870" s="1"/>
      <c r="B5870" s="15"/>
      <c r="C5870" s="15"/>
      <c r="D5870" s="15"/>
      <c r="E5870" s="15"/>
      <c r="F5870" s="16"/>
      <c r="G5870" s="2"/>
      <c r="H5870" s="17"/>
      <c r="I5870" s="22"/>
      <c r="J5870" s="19"/>
      <c r="K5870" s="15"/>
      <c r="L5870" s="15"/>
    </row>
    <row r="5871" spans="1:12" ht="18.75" customHeight="1" x14ac:dyDescent="0.15">
      <c r="A5871" s="26"/>
      <c r="B5871" s="26" t="s">
        <v>702</v>
      </c>
      <c r="C5871" s="30" t="s">
        <v>661</v>
      </c>
      <c r="D5871" s="26"/>
      <c r="E5871" s="26"/>
      <c r="F5871" s="31">
        <f>SUM(F5082:F5791)</f>
        <v>50086127</v>
      </c>
      <c r="G5871" s="29">
        <f>SUM(G5082:G5791)</f>
        <v>4050000</v>
      </c>
      <c r="H5871" s="32"/>
      <c r="I5871" s="17"/>
      <c r="J5871" s="19"/>
      <c r="K5871" s="15"/>
      <c r="L5871" s="15"/>
    </row>
    <row r="5872" spans="1:12" ht="18.75" customHeight="1" x14ac:dyDescent="0.15">
      <c r="A5872" s="33"/>
      <c r="B5872" s="33" t="s">
        <v>703</v>
      </c>
      <c r="C5872" s="36" t="s">
        <v>672</v>
      </c>
      <c r="D5872" s="36"/>
      <c r="E5872" s="36"/>
      <c r="F5872" s="35"/>
      <c r="G5872" s="35">
        <f>G5871+G5080</f>
        <v>312347092</v>
      </c>
      <c r="H5872" s="37"/>
      <c r="I5872" s="8"/>
      <c r="J5872" s="9"/>
      <c r="K5872" s="1"/>
      <c r="L5872" s="1"/>
    </row>
  </sheetData>
  <autoFilter ref="A9:L5872"/>
  <mergeCells count="1">
    <mergeCell ref="A1:L1"/>
  </mergeCells>
  <phoneticPr fontId="18"/>
  <pageMargins left="1.1417322834645669" right="0.35433070866141736" top="0.59055118110236227" bottom="0.39370078740157483" header="0.51181102362204722" footer="0.51181102362204722"/>
  <pageSetup paperSize="9" scale="41" fitToHeight="0" orientation="portrait" r:id="rId1"/>
  <ignoredErrors>
    <ignoredError sqref="J5816:J5817 J5792:J5794 J5795:J5815 J5818:J586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什器備品リスト</vt:lpstr>
      <vt:lpstr>什器備品リスト!Print_Area</vt:lpstr>
      <vt:lpstr>什器備品リスト!Print_Titles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2022-03-25T00:27:33Z</dcterms:created>
  <dcterms:modified xsi:type="dcterms:W3CDTF">2023-12-25T01:49:51Z</dcterms:modified>
</cp:coreProperties>
</file>